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kehoe\Dropbox\Proyecto América Latina - Marzo 2017\ManifoldDataAppendices\Files\"/>
    </mc:Choice>
  </mc:AlternateContent>
  <bookViews>
    <workbookView xWindow="32760" yWindow="32760" windowWidth="28800" windowHeight="12300" tabRatio="551" activeTab="2"/>
  </bookViews>
  <sheets>
    <sheet name="Data" sheetId="11" r:id="rId1"/>
    <sheet name="Calculations" sheetId="7" r:id="rId2"/>
    <sheet name="Results" sheetId="10" r:id="rId3"/>
  </sheets>
  <calcPr calcId="162913"/>
</workbook>
</file>

<file path=xl/calcChain.xml><?xml version="1.0" encoding="utf-8"?>
<calcChain xmlns="http://schemas.openxmlformats.org/spreadsheetml/2006/main">
  <c r="N6" i="7" l="1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5" i="7"/>
  <c r="Q6" i="7" l="1"/>
  <c r="Q7" i="7"/>
  <c r="Q8" i="7"/>
  <c r="Q9" i="7"/>
  <c r="Q10" i="7"/>
  <c r="Q11" i="7"/>
  <c r="Q12" i="7"/>
  <c r="Q13" i="7"/>
  <c r="Q14" i="7"/>
  <c r="W14" i="7" s="1"/>
  <c r="AI14" i="7" s="1"/>
  <c r="AS14" i="7" s="1"/>
  <c r="Q15" i="7"/>
  <c r="Q16" i="7"/>
  <c r="W16" i="7" s="1"/>
  <c r="Q17" i="7"/>
  <c r="Q18" i="7"/>
  <c r="Q19" i="7"/>
  <c r="Q20" i="7"/>
  <c r="Q21" i="7"/>
  <c r="Q22" i="7"/>
  <c r="Q23" i="7"/>
  <c r="Q24" i="7"/>
  <c r="Q25" i="7"/>
  <c r="Q26" i="7"/>
  <c r="Q27" i="7"/>
  <c r="Q28" i="7"/>
  <c r="W28" i="7" s="1"/>
  <c r="Q29" i="7"/>
  <c r="Q30" i="7"/>
  <c r="Q31" i="7"/>
  <c r="Q32" i="7"/>
  <c r="Q33" i="7"/>
  <c r="Q34" i="7"/>
  <c r="Q35" i="7"/>
  <c r="Q36" i="7"/>
  <c r="Q37" i="7"/>
  <c r="Q38" i="7"/>
  <c r="Q39" i="7"/>
  <c r="Q40" i="7"/>
  <c r="W40" i="7" s="1"/>
  <c r="Q41" i="7"/>
  <c r="Q42" i="7"/>
  <c r="Q43" i="7"/>
  <c r="Q44" i="7"/>
  <c r="Q45" i="7"/>
  <c r="Q46" i="7"/>
  <c r="Q47" i="7"/>
  <c r="Q48" i="7"/>
  <c r="Q49" i="7"/>
  <c r="Q50" i="7"/>
  <c r="Q51" i="7"/>
  <c r="Q52" i="7"/>
  <c r="W52" i="7" s="1"/>
  <c r="Q53" i="7"/>
  <c r="Q54" i="7"/>
  <c r="Q55" i="7"/>
  <c r="W55" i="7" s="1"/>
  <c r="AI55" i="7" s="1"/>
  <c r="AS55" i="7" s="1"/>
  <c r="Q56" i="7"/>
  <c r="Q57" i="7"/>
  <c r="Q58" i="7"/>
  <c r="Q59" i="7"/>
  <c r="Q60" i="7"/>
  <c r="Q61" i="7"/>
  <c r="Q5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8" i="7"/>
  <c r="X7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W17" i="7"/>
  <c r="W15" i="7"/>
  <c r="W13" i="7"/>
  <c r="W12" i="7"/>
  <c r="U12" i="7"/>
  <c r="P6" i="7"/>
  <c r="U6" i="7"/>
  <c r="U7" i="7"/>
  <c r="P9" i="7"/>
  <c r="P10" i="7"/>
  <c r="P11" i="7"/>
  <c r="U11" i="7"/>
  <c r="P13" i="7"/>
  <c r="P14" i="7"/>
  <c r="P15" i="7"/>
  <c r="P16" i="7"/>
  <c r="U16" i="7"/>
  <c r="U17" i="7"/>
  <c r="U18" i="7"/>
  <c r="P20" i="7"/>
  <c r="P21" i="7"/>
  <c r="P22" i="7"/>
  <c r="P23" i="7"/>
  <c r="P24" i="7"/>
  <c r="P25" i="7"/>
  <c r="P26" i="7"/>
  <c r="U26" i="7"/>
  <c r="P28" i="7"/>
  <c r="U28" i="7"/>
  <c r="U29" i="7"/>
  <c r="P31" i="7"/>
  <c r="U31" i="7"/>
  <c r="U32" i="7"/>
  <c r="P34" i="7"/>
  <c r="P35" i="7"/>
  <c r="P36" i="7"/>
  <c r="P37" i="7"/>
  <c r="U37" i="7"/>
  <c r="U38" i="7"/>
  <c r="P40" i="7"/>
  <c r="U40" i="7"/>
  <c r="P42" i="7"/>
  <c r="P43" i="7"/>
  <c r="P44" i="7"/>
  <c r="U44" i="7"/>
  <c r="U45" i="7"/>
  <c r="P47" i="7"/>
  <c r="P48" i="7"/>
  <c r="P49" i="7"/>
  <c r="U49" i="7"/>
  <c r="P51" i="7"/>
  <c r="P52" i="7"/>
  <c r="U52" i="7"/>
  <c r="P54" i="7"/>
  <c r="U54" i="7"/>
  <c r="U55" i="7"/>
  <c r="P57" i="7"/>
  <c r="P58" i="7"/>
  <c r="P59" i="7"/>
  <c r="P60" i="7"/>
  <c r="P61" i="7"/>
  <c r="U59" i="7"/>
  <c r="L6" i="7"/>
  <c r="L7" i="7"/>
  <c r="S7" i="7" s="1"/>
  <c r="L8" i="7"/>
  <c r="L9" i="7"/>
  <c r="S9" i="7" s="1"/>
  <c r="L10" i="7"/>
  <c r="L11" i="7"/>
  <c r="L12" i="7"/>
  <c r="S12" i="7" s="1"/>
  <c r="L13" i="7"/>
  <c r="L14" i="7"/>
  <c r="S14" i="7" s="1"/>
  <c r="L15" i="7"/>
  <c r="L16" i="7"/>
  <c r="L17" i="7"/>
  <c r="L18" i="7"/>
  <c r="S18" i="7" s="1"/>
  <c r="L19" i="7"/>
  <c r="S19" i="7" s="1"/>
  <c r="L20" i="7"/>
  <c r="L21" i="7"/>
  <c r="L22" i="7"/>
  <c r="L23" i="7"/>
  <c r="S23" i="7" s="1"/>
  <c r="L24" i="7"/>
  <c r="S24" i="7" s="1"/>
  <c r="L25" i="7"/>
  <c r="L26" i="7"/>
  <c r="S26" i="7" s="1"/>
  <c r="L27" i="7"/>
  <c r="L28" i="7"/>
  <c r="S28" i="7" s="1"/>
  <c r="L29" i="7"/>
  <c r="S29" i="7" s="1"/>
  <c r="L30" i="7"/>
  <c r="L31" i="7"/>
  <c r="L32" i="7"/>
  <c r="L33" i="7"/>
  <c r="S33" i="7" s="1"/>
  <c r="L34" i="7"/>
  <c r="L35" i="7"/>
  <c r="L36" i="7"/>
  <c r="L37" i="7"/>
  <c r="L38" i="7"/>
  <c r="S38" i="7" s="1"/>
  <c r="L39" i="7"/>
  <c r="S39" i="7" s="1"/>
  <c r="L40" i="7"/>
  <c r="S40" i="7" s="1"/>
  <c r="L41" i="7"/>
  <c r="L42" i="7"/>
  <c r="L43" i="7"/>
  <c r="L44" i="7"/>
  <c r="L45" i="7"/>
  <c r="L46" i="7"/>
  <c r="L47" i="7"/>
  <c r="L48" i="7"/>
  <c r="L49" i="7"/>
  <c r="L50" i="7"/>
  <c r="S50" i="7" s="1"/>
  <c r="L51" i="7"/>
  <c r="S51" i="7" s="1"/>
  <c r="L52" i="7"/>
  <c r="S52" i="7" s="1"/>
  <c r="L53" i="7"/>
  <c r="L54" i="7"/>
  <c r="L55" i="7"/>
  <c r="S55" i="7" s="1"/>
  <c r="L56" i="7"/>
  <c r="L57" i="7"/>
  <c r="S57" i="7" s="1"/>
  <c r="L58" i="7"/>
  <c r="L59" i="7"/>
  <c r="S59" i="7" s="1"/>
  <c r="L60" i="7"/>
  <c r="L61" i="7"/>
  <c r="S17" i="7"/>
  <c r="S45" i="7"/>
  <c r="S53" i="7"/>
  <c r="S54" i="7"/>
  <c r="S27" i="7"/>
  <c r="S44" i="7"/>
  <c r="S56" i="7"/>
  <c r="L5" i="7"/>
  <c r="S5" i="7" s="1"/>
  <c r="C61" i="7"/>
  <c r="D61" i="7" s="1"/>
  <c r="C60" i="7"/>
  <c r="C59" i="7"/>
  <c r="C58" i="7"/>
  <c r="C57" i="7"/>
  <c r="C56" i="7"/>
  <c r="D57" i="7" s="1"/>
  <c r="C55" i="7"/>
  <c r="D55" i="7" s="1"/>
  <c r="C54" i="7"/>
  <c r="C53" i="7"/>
  <c r="C52" i="7"/>
  <c r="D53" i="7" s="1"/>
  <c r="C51" i="7"/>
  <c r="C50" i="7"/>
  <c r="C49" i="7"/>
  <c r="D49" i="7" s="1"/>
  <c r="C48" i="7"/>
  <c r="C47" i="7"/>
  <c r="C46" i="7"/>
  <c r="D46" i="7" s="1"/>
  <c r="C45" i="7"/>
  <c r="C44" i="7"/>
  <c r="D45" i="7" s="1"/>
  <c r="C43" i="7"/>
  <c r="D43" i="7" s="1"/>
  <c r="C42" i="7"/>
  <c r="C41" i="7"/>
  <c r="C40" i="7"/>
  <c r="D40" i="7" s="1"/>
  <c r="C39" i="7"/>
  <c r="C38" i="7"/>
  <c r="C37" i="7"/>
  <c r="C36" i="7"/>
  <c r="D37" i="7" s="1"/>
  <c r="C35" i="7"/>
  <c r="C34" i="7"/>
  <c r="D34" i="7" s="1"/>
  <c r="C33" i="7"/>
  <c r="C32" i="7"/>
  <c r="D33" i="7" s="1"/>
  <c r="C31" i="7"/>
  <c r="C30" i="7"/>
  <c r="C29" i="7"/>
  <c r="C28" i="7"/>
  <c r="D29" i="7" s="1"/>
  <c r="C27" i="7"/>
  <c r="C26" i="7"/>
  <c r="C25" i="7"/>
  <c r="C24" i="7"/>
  <c r="C23" i="7"/>
  <c r="C22" i="7"/>
  <c r="D22" i="7" s="1"/>
  <c r="C21" i="7"/>
  <c r="C20" i="7"/>
  <c r="C19" i="7"/>
  <c r="D19" i="7" s="1"/>
  <c r="C18" i="7"/>
  <c r="C17" i="7"/>
  <c r="C16" i="7"/>
  <c r="C15" i="7"/>
  <c r="C14" i="7"/>
  <c r="C13" i="7"/>
  <c r="C12" i="7"/>
  <c r="D12" i="7" s="1"/>
  <c r="C11" i="7"/>
  <c r="C10" i="7"/>
  <c r="D10" i="7" s="1"/>
  <c r="C9" i="7"/>
  <c r="D9" i="7" s="1"/>
  <c r="C8" i="7"/>
  <c r="C7" i="7"/>
  <c r="D7" i="7" s="1"/>
  <c r="C6" i="7"/>
  <c r="C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5" i="7"/>
  <c r="I6" i="7"/>
  <c r="I7" i="7"/>
  <c r="I8" i="7"/>
  <c r="I9" i="7"/>
  <c r="I10" i="7"/>
  <c r="I11" i="7"/>
  <c r="I12" i="7"/>
  <c r="I13" i="7"/>
  <c r="I14" i="7"/>
  <c r="I15" i="7"/>
  <c r="I16" i="7"/>
  <c r="E16" i="7" s="1"/>
  <c r="I17" i="7"/>
  <c r="I18" i="7"/>
  <c r="E18" i="7" s="1"/>
  <c r="I19" i="7"/>
  <c r="I20" i="7"/>
  <c r="E20" i="7" s="1"/>
  <c r="I21" i="7"/>
  <c r="E22" i="7" s="1"/>
  <c r="I22" i="7"/>
  <c r="I23" i="7"/>
  <c r="I24" i="7"/>
  <c r="I25" i="7"/>
  <c r="I26" i="7"/>
  <c r="I27" i="7"/>
  <c r="E27" i="7" s="1"/>
  <c r="I28" i="7"/>
  <c r="E28" i="7" s="1"/>
  <c r="I29" i="7"/>
  <c r="I30" i="7"/>
  <c r="I31" i="7"/>
  <c r="I32" i="7"/>
  <c r="I33" i="7"/>
  <c r="E34" i="7" s="1"/>
  <c r="I34" i="7"/>
  <c r="I35" i="7"/>
  <c r="I36" i="7"/>
  <c r="I37" i="7"/>
  <c r="I38" i="7"/>
  <c r="I39" i="7"/>
  <c r="I40" i="7"/>
  <c r="E41" i="7" s="1"/>
  <c r="I41" i="7"/>
  <c r="I42" i="7"/>
  <c r="E42" i="7" s="1"/>
  <c r="I43" i="7"/>
  <c r="I44" i="7"/>
  <c r="I45" i="7"/>
  <c r="I46" i="7"/>
  <c r="I47" i="7"/>
  <c r="I48" i="7"/>
  <c r="I49" i="7"/>
  <c r="I50" i="7"/>
  <c r="I51" i="7"/>
  <c r="I52" i="7"/>
  <c r="E52" i="7" s="1"/>
  <c r="I53" i="7"/>
  <c r="I54" i="7"/>
  <c r="I55" i="7"/>
  <c r="I56" i="7"/>
  <c r="E56" i="7" s="1"/>
  <c r="I57" i="7"/>
  <c r="E57" i="7" s="1"/>
  <c r="I58" i="7"/>
  <c r="E59" i="7" s="1"/>
  <c r="I59" i="7"/>
  <c r="I60" i="7"/>
  <c r="I61" i="7"/>
  <c r="I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W59" i="7" s="1"/>
  <c r="AI59" i="7" s="1"/>
  <c r="AS59" i="7" s="1"/>
  <c r="B60" i="7"/>
  <c r="W60" i="7" s="1"/>
  <c r="AI60" i="7" s="1"/>
  <c r="AS60" i="7" s="1"/>
  <c r="B61" i="7"/>
  <c r="B5" i="7"/>
  <c r="W6" i="7"/>
  <c r="D11" i="7"/>
  <c r="E7" i="7"/>
  <c r="E23" i="7"/>
  <c r="E35" i="7"/>
  <c r="U24" i="7"/>
  <c r="U56" i="7"/>
  <c r="U33" i="7"/>
  <c r="AF4" i="7"/>
  <c r="S61" i="7"/>
  <c r="U21" i="7"/>
  <c r="U25" i="7"/>
  <c r="U43" i="7"/>
  <c r="U46" i="7"/>
  <c r="U61" i="7"/>
  <c r="W56" i="7"/>
  <c r="AI56" i="7" s="1"/>
  <c r="AS56" i="7" s="1"/>
  <c r="W57" i="7"/>
  <c r="W54" i="7"/>
  <c r="AI54" i="7" s="1"/>
  <c r="AS54" i="7" s="1"/>
  <c r="W53" i="7"/>
  <c r="AI53" i="7" s="1"/>
  <c r="AS53" i="7" s="1"/>
  <c r="W51" i="7"/>
  <c r="W50" i="7"/>
  <c r="AI50" i="7" s="1"/>
  <c r="AS50" i="7" s="1"/>
  <c r="W49" i="7"/>
  <c r="AI49" i="7" s="1"/>
  <c r="AS49" i="7" s="1"/>
  <c r="W48" i="7"/>
  <c r="AI48" i="7" s="1"/>
  <c r="AS48" i="7" s="1"/>
  <c r="W47" i="7"/>
  <c r="W46" i="7"/>
  <c r="AI46" i="7" s="1"/>
  <c r="AS46" i="7" s="1"/>
  <c r="W45" i="7"/>
  <c r="AI45" i="7" s="1"/>
  <c r="AS45" i="7" s="1"/>
  <c r="W44" i="7"/>
  <c r="AI44" i="7" s="1"/>
  <c r="AS44" i="7" s="1"/>
  <c r="W43" i="7"/>
  <c r="W42" i="7"/>
  <c r="AI42" i="7" s="1"/>
  <c r="AS42" i="7" s="1"/>
  <c r="W41" i="7"/>
  <c r="AI41" i="7" s="1"/>
  <c r="AS41" i="7" s="1"/>
  <c r="W39" i="7"/>
  <c r="AI39" i="7" s="1"/>
  <c r="AS39" i="7" s="1"/>
  <c r="W38" i="7"/>
  <c r="AI38" i="7" s="1"/>
  <c r="AS38" i="7" s="1"/>
  <c r="W37" i="7"/>
  <c r="AI37" i="7" s="1"/>
  <c r="AS37" i="7" s="1"/>
  <c r="W36" i="7"/>
  <c r="AI36" i="7" s="1"/>
  <c r="AS36" i="7" s="1"/>
  <c r="W35" i="7"/>
  <c r="W34" i="7"/>
  <c r="AI34" i="7" s="1"/>
  <c r="AS34" i="7" s="1"/>
  <c r="W33" i="7"/>
  <c r="W32" i="7"/>
  <c r="AI32" i="7" s="1"/>
  <c r="AS32" i="7" s="1"/>
  <c r="W31" i="7"/>
  <c r="AI31" i="7" s="1"/>
  <c r="AS31" i="7" s="1"/>
  <c r="W30" i="7"/>
  <c r="AI30" i="7" s="1"/>
  <c r="AS30" i="7" s="1"/>
  <c r="W29" i="7"/>
  <c r="AI29" i="7" s="1"/>
  <c r="AS29" i="7" s="1"/>
  <c r="W27" i="7"/>
  <c r="AI27" i="7" s="1"/>
  <c r="AS27" i="7" s="1"/>
  <c r="W26" i="7"/>
  <c r="AI26" i="7" s="1"/>
  <c r="AS26" i="7" s="1"/>
  <c r="W25" i="7"/>
  <c r="AI25" i="7" s="1"/>
  <c r="AS25" i="7" s="1"/>
  <c r="W24" i="7"/>
  <c r="AI24" i="7" s="1"/>
  <c r="AS24" i="7" s="1"/>
  <c r="W23" i="7"/>
  <c r="W22" i="7"/>
  <c r="AI22" i="7" s="1"/>
  <c r="AS22" i="7" s="1"/>
  <c r="W21" i="7"/>
  <c r="AI21" i="7" s="1"/>
  <c r="AS21" i="7" s="1"/>
  <c r="W20" i="7"/>
  <c r="AI20" i="7" s="1"/>
  <c r="AS20" i="7" s="1"/>
  <c r="W19" i="7"/>
  <c r="AI19" i="7" s="1"/>
  <c r="AS19" i="7" s="1"/>
  <c r="W18" i="7"/>
  <c r="AI18" i="7" s="1"/>
  <c r="AS18" i="7" s="1"/>
  <c r="AI17" i="7"/>
  <c r="AS17" i="7" s="1"/>
  <c r="AI13" i="7"/>
  <c r="AS13" i="7" s="1"/>
  <c r="W11" i="7"/>
  <c r="W10" i="7"/>
  <c r="AI10" i="7" s="1"/>
  <c r="AS10" i="7" s="1"/>
  <c r="W9" i="7"/>
  <c r="AI9" i="7" s="1"/>
  <c r="AS9" i="7" s="1"/>
  <c r="W8" i="7"/>
  <c r="AI8" i="7" s="1"/>
  <c r="AS8" i="7" s="1"/>
  <c r="W7" i="7"/>
  <c r="AI7" i="7" s="1"/>
  <c r="AS7" i="7" s="1"/>
  <c r="W5" i="7"/>
  <c r="V61" i="7"/>
  <c r="V60" i="7"/>
  <c r="V59" i="7"/>
  <c r="V58" i="7"/>
  <c r="S58" i="7"/>
  <c r="V57" i="7"/>
  <c r="AE56" i="7"/>
  <c r="V55" i="7"/>
  <c r="V54" i="7"/>
  <c r="V53" i="7"/>
  <c r="V52" i="7"/>
  <c r="AE50" i="7"/>
  <c r="V49" i="7"/>
  <c r="V48" i="7"/>
  <c r="V47" i="7"/>
  <c r="V46" i="7"/>
  <c r="V45" i="7"/>
  <c r="V44" i="7"/>
  <c r="V43" i="7"/>
  <c r="V42" i="7"/>
  <c r="V41" i="7"/>
  <c r="V40" i="7"/>
  <c r="V39" i="7"/>
  <c r="V38" i="7"/>
  <c r="AE37" i="7"/>
  <c r="AE35" i="7"/>
  <c r="V34" i="7"/>
  <c r="S34" i="7"/>
  <c r="V33" i="7"/>
  <c r="V32" i="7"/>
  <c r="V31" i="7"/>
  <c r="S31" i="7"/>
  <c r="AE30" i="7"/>
  <c r="V29" i="7"/>
  <c r="V28" i="7"/>
  <c r="V27" i="7"/>
  <c r="V26" i="7"/>
  <c r="V25" i="7"/>
  <c r="V23" i="7"/>
  <c r="S22" i="7"/>
  <c r="AE22" i="7"/>
  <c r="V21" i="7"/>
  <c r="AE20" i="7"/>
  <c r="S20" i="7"/>
  <c r="V19" i="7"/>
  <c r="V18" i="7"/>
  <c r="D17" i="7"/>
  <c r="V16" i="7"/>
  <c r="AE15" i="7"/>
  <c r="V14" i="7"/>
  <c r="V13" i="7"/>
  <c r="V12" i="7"/>
  <c r="V11" i="7"/>
  <c r="V10" i="7"/>
  <c r="AE9" i="7"/>
  <c r="V8" i="7"/>
  <c r="V7" i="7"/>
  <c r="AE6" i="7"/>
  <c r="AE5" i="7"/>
  <c r="U27" i="7"/>
  <c r="U15" i="7"/>
  <c r="U58" i="7"/>
  <c r="E19" i="7"/>
  <c r="V51" i="7"/>
  <c r="E31" i="7"/>
  <c r="E43" i="7"/>
  <c r="E55" i="7"/>
  <c r="W58" i="7"/>
  <c r="AI58" i="7" s="1"/>
  <c r="AS58" i="7" s="1"/>
  <c r="V22" i="7"/>
  <c r="V37" i="7"/>
  <c r="V24" i="7"/>
  <c r="D58" i="7"/>
  <c r="AE27" i="7"/>
  <c r="U35" i="7"/>
  <c r="E32" i="7"/>
  <c r="E8" i="7"/>
  <c r="E44" i="7"/>
  <c r="U57" i="7"/>
  <c r="U36" i="7"/>
  <c r="U48" i="7"/>
  <c r="U60" i="7"/>
  <c r="U39" i="7"/>
  <c r="U51" i="7"/>
  <c r="U30" i="7"/>
  <c r="E46" i="7"/>
  <c r="AE8" i="7"/>
  <c r="V17" i="7"/>
  <c r="S49" i="7"/>
  <c r="AE31" i="7"/>
  <c r="V20" i="7"/>
  <c r="D25" i="7"/>
  <c r="AB20" i="7"/>
  <c r="AE42" i="7"/>
  <c r="AE21" i="7"/>
  <c r="D13" i="7"/>
  <c r="AE61" i="7"/>
  <c r="AE19" i="7"/>
  <c r="AE38" i="7"/>
  <c r="V56" i="7"/>
  <c r="W61" i="7"/>
  <c r="AI61" i="7" s="1"/>
  <c r="AS61" i="7" s="1"/>
  <c r="E49" i="7"/>
  <c r="AE51" i="7"/>
  <c r="S37" i="7"/>
  <c r="AE47" i="7"/>
  <c r="D24" i="7"/>
  <c r="AE46" i="7"/>
  <c r="AE34" i="7"/>
  <c r="AE32" i="7"/>
  <c r="AO32" i="7" s="1"/>
  <c r="AE43" i="7"/>
  <c r="AE23" i="7"/>
  <c r="AO23" i="7" s="1"/>
  <c r="AE54" i="7"/>
  <c r="D21" i="7"/>
  <c r="D41" i="7"/>
  <c r="AE14" i="7"/>
  <c r="AE48" i="7"/>
  <c r="S10" i="7"/>
  <c r="S8" i="7"/>
  <c r="AB8" i="7" s="1"/>
  <c r="S21" i="7"/>
  <c r="X47" i="7"/>
  <c r="AG47" i="7" s="1"/>
  <c r="X35" i="7"/>
  <c r="AG35" i="7" s="1"/>
  <c r="S25" i="7"/>
  <c r="S42" i="7"/>
  <c r="S32" i="7"/>
  <c r="S46" i="7"/>
  <c r="S6" i="7"/>
  <c r="AB6" i="7" s="1"/>
  <c r="E30" i="7"/>
  <c r="E54" i="7"/>
  <c r="U34" i="7"/>
  <c r="U23" i="7"/>
  <c r="U20" i="7"/>
  <c r="Y37" i="7" l="1"/>
  <c r="Y25" i="7"/>
  <c r="AO20" i="7"/>
  <c r="Y16" i="7"/>
  <c r="Y47" i="7"/>
  <c r="Y58" i="7"/>
  <c r="Y34" i="7"/>
  <c r="Y22" i="7"/>
  <c r="O6" i="7"/>
  <c r="X6" i="7" s="1"/>
  <c r="AG6" i="7" s="1"/>
  <c r="P45" i="7"/>
  <c r="Y45" i="7" s="1"/>
  <c r="P33" i="7"/>
  <c r="Y33" i="7" s="1"/>
  <c r="T10" i="7"/>
  <c r="Y57" i="7"/>
  <c r="U13" i="7"/>
  <c r="Y14" i="7" s="1"/>
  <c r="P56" i="7"/>
  <c r="P32" i="7"/>
  <c r="Y32" i="7" s="1"/>
  <c r="P8" i="7"/>
  <c r="Y8" i="7" s="1"/>
  <c r="P55" i="7"/>
  <c r="Y55" i="7" s="1"/>
  <c r="P19" i="7"/>
  <c r="Y19" i="7" s="1"/>
  <c r="P7" i="7"/>
  <c r="Y7" i="7" s="1"/>
  <c r="AO51" i="7"/>
  <c r="P30" i="7"/>
  <c r="Y30" i="7" s="1"/>
  <c r="P18" i="7"/>
  <c r="Y18" i="7" s="1"/>
  <c r="Y49" i="7"/>
  <c r="V15" i="7"/>
  <c r="Y44" i="7"/>
  <c r="V9" i="7"/>
  <c r="P53" i="7"/>
  <c r="Y53" i="7" s="1"/>
  <c r="P41" i="7"/>
  <c r="Y41" i="7" s="1"/>
  <c r="P29" i="7"/>
  <c r="Y29" i="7" s="1"/>
  <c r="P17" i="7"/>
  <c r="Y17" i="7" s="1"/>
  <c r="AO15" i="7"/>
  <c r="F6" i="7"/>
  <c r="U5" i="7"/>
  <c r="AD5" i="7" s="1"/>
  <c r="P39" i="7"/>
  <c r="Y39" i="7" s="1"/>
  <c r="P27" i="7"/>
  <c r="Y27" i="7" s="1"/>
  <c r="P50" i="7"/>
  <c r="Y50" i="7" s="1"/>
  <c r="P38" i="7"/>
  <c r="Y38" i="7" s="1"/>
  <c r="AE24" i="7"/>
  <c r="AE12" i="7"/>
  <c r="H6" i="7"/>
  <c r="T15" i="7"/>
  <c r="U8" i="7"/>
  <c r="AD8" i="7" s="1"/>
  <c r="AE26" i="7"/>
  <c r="AO27" i="7" s="1"/>
  <c r="T5" i="7"/>
  <c r="AC5" i="7" s="1"/>
  <c r="T14" i="7"/>
  <c r="U9" i="7"/>
  <c r="Y10" i="7" s="1"/>
  <c r="P12" i="7"/>
  <c r="Y12" i="7" s="1"/>
  <c r="U10" i="7"/>
  <c r="Y11" i="7" s="1"/>
  <c r="AO35" i="7"/>
  <c r="AE45" i="7"/>
  <c r="AF46" i="7" s="1"/>
  <c r="AP46" i="7" s="1"/>
  <c r="AE33" i="7"/>
  <c r="AO34" i="7" s="1"/>
  <c r="P46" i="7"/>
  <c r="Y46" i="7" s="1"/>
  <c r="Y31" i="7"/>
  <c r="Y24" i="7"/>
  <c r="AO31" i="7"/>
  <c r="AO6" i="7"/>
  <c r="V6" i="7"/>
  <c r="Y28" i="7"/>
  <c r="AI12" i="7"/>
  <c r="AS12" i="7" s="1"/>
  <c r="T12" i="7"/>
  <c r="V50" i="7"/>
  <c r="AE60" i="7"/>
  <c r="AO61" i="7" s="1"/>
  <c r="AE10" i="7"/>
  <c r="AO10" i="7" s="1"/>
  <c r="D35" i="7"/>
  <c r="D48" i="7"/>
  <c r="D60" i="7"/>
  <c r="AM6" i="7"/>
  <c r="AI23" i="7"/>
  <c r="AS23" i="7" s="1"/>
  <c r="T9" i="7"/>
  <c r="V5" i="7"/>
  <c r="AO14" i="7"/>
  <c r="V30" i="7"/>
  <c r="AI15" i="7"/>
  <c r="AS15" i="7" s="1"/>
  <c r="AI33" i="7"/>
  <c r="AS33" i="7" s="1"/>
  <c r="D26" i="10" s="1"/>
  <c r="AI51" i="7"/>
  <c r="AS51" i="7" s="1"/>
  <c r="U22" i="7"/>
  <c r="Y23" i="7" s="1"/>
  <c r="AE53" i="7"/>
  <c r="AO54" i="7" s="1"/>
  <c r="AE41" i="7"/>
  <c r="AO42" i="7" s="1"/>
  <c r="AE17" i="7"/>
  <c r="AF18" i="7" s="1"/>
  <c r="AP18" i="7" s="1"/>
  <c r="E51" i="7"/>
  <c r="E39" i="7"/>
  <c r="E26" i="7"/>
  <c r="E14" i="7"/>
  <c r="T11" i="7"/>
  <c r="T8" i="7"/>
  <c r="D14" i="7"/>
  <c r="D26" i="7"/>
  <c r="D39" i="7"/>
  <c r="D51" i="7"/>
  <c r="AB5" i="7"/>
  <c r="S30" i="7"/>
  <c r="X31" i="7" s="1"/>
  <c r="AG31" i="7" s="1"/>
  <c r="S13" i="7"/>
  <c r="AB13" i="7" s="1"/>
  <c r="V35" i="7"/>
  <c r="AE55" i="7"/>
  <c r="AO55" i="7" s="1"/>
  <c r="AE52" i="7"/>
  <c r="AO52" i="7" s="1"/>
  <c r="AE28" i="7"/>
  <c r="E61" i="7"/>
  <c r="E37" i="7"/>
  <c r="E25" i="7"/>
  <c r="E13" i="7"/>
  <c r="T7" i="7"/>
  <c r="D16" i="7"/>
  <c r="D28" i="7"/>
  <c r="D52" i="7"/>
  <c r="AI43" i="7"/>
  <c r="AS43" i="7" s="1"/>
  <c r="T6" i="7"/>
  <c r="AC6" i="7" s="1"/>
  <c r="S47" i="7"/>
  <c r="AB47" i="7" s="1"/>
  <c r="AE58" i="7"/>
  <c r="Y52" i="7"/>
  <c r="AE39" i="7"/>
  <c r="AO39" i="7" s="1"/>
  <c r="AE36" i="7"/>
  <c r="AO37" i="7" s="1"/>
  <c r="AI35" i="7"/>
  <c r="AS35" i="7" s="1"/>
  <c r="D18" i="7"/>
  <c r="D30" i="7"/>
  <c r="AQ30" i="7" s="1"/>
  <c r="D42" i="7"/>
  <c r="D54" i="7"/>
  <c r="AO46" i="7"/>
  <c r="AO38" i="7"/>
  <c r="T16" i="7"/>
  <c r="E9" i="7"/>
  <c r="AQ9" i="7" s="1"/>
  <c r="D32" i="7"/>
  <c r="AB24" i="7"/>
  <c r="AB12" i="7"/>
  <c r="AM13" i="7" s="1"/>
  <c r="AD7" i="7"/>
  <c r="AB23" i="7"/>
  <c r="AE59" i="7"/>
  <c r="AO59" i="7" s="1"/>
  <c r="AE25" i="7"/>
  <c r="AO26" i="7" s="1"/>
  <c r="Y61" i="7"/>
  <c r="AE13" i="7"/>
  <c r="AI11" i="7"/>
  <c r="AS11" i="7" s="1"/>
  <c r="AI47" i="7"/>
  <c r="AS47" i="7" s="1"/>
  <c r="AI57" i="7"/>
  <c r="AS57" i="7" s="1"/>
  <c r="T13" i="7"/>
  <c r="AO36" i="7"/>
  <c r="AO24" i="7"/>
  <c r="Y56" i="7"/>
  <c r="E15" i="7"/>
  <c r="AO43" i="7"/>
  <c r="AO47" i="7"/>
  <c r="S35" i="7"/>
  <c r="AB35" i="7" s="1"/>
  <c r="AM36" i="7" s="1"/>
  <c r="V36" i="7"/>
  <c r="X60" i="7"/>
  <c r="AG60" i="7" s="1"/>
  <c r="D20" i="7"/>
  <c r="AF20" i="7" s="1"/>
  <c r="AP20" i="7" s="1"/>
  <c r="AG13" i="7"/>
  <c r="D27" i="7"/>
  <c r="Y26" i="7"/>
  <c r="E10" i="7"/>
  <c r="AF10" i="7" s="1"/>
  <c r="AP10" i="7" s="1"/>
  <c r="AF43" i="7"/>
  <c r="AP43" i="7" s="1"/>
  <c r="S60" i="7"/>
  <c r="AB60" i="7" s="1"/>
  <c r="AQ61" i="7" s="1"/>
  <c r="D44" i="7"/>
  <c r="AF44" i="7" s="1"/>
  <c r="AP44" i="7" s="1"/>
  <c r="H7" i="7"/>
  <c r="AB56" i="7"/>
  <c r="AQ57" i="7" s="1"/>
  <c r="AB45" i="7"/>
  <c r="S36" i="7"/>
  <c r="AB36" i="7" s="1"/>
  <c r="F7" i="7"/>
  <c r="D31" i="7"/>
  <c r="AF31" i="7" s="1"/>
  <c r="AP31" i="7" s="1"/>
  <c r="Y40" i="7"/>
  <c r="U19" i="7"/>
  <c r="Y20" i="7" s="1"/>
  <c r="AD6" i="7"/>
  <c r="AQ7" i="7"/>
  <c r="AE57" i="7"/>
  <c r="AO57" i="7" s="1"/>
  <c r="E45" i="7"/>
  <c r="AF45" i="7" s="1"/>
  <c r="AP45" i="7" s="1"/>
  <c r="E21" i="7"/>
  <c r="AF21" i="7" s="1"/>
  <c r="AP21" i="7" s="1"/>
  <c r="D8" i="7"/>
  <c r="AF8" i="7" s="1"/>
  <c r="AP8" i="7" s="1"/>
  <c r="AF33" i="7"/>
  <c r="AP33" i="7" s="1"/>
  <c r="AF57" i="7"/>
  <c r="AP57" i="7" s="1"/>
  <c r="AB30" i="7"/>
  <c r="AQ31" i="7" s="1"/>
  <c r="AG25" i="7"/>
  <c r="AE7" i="7"/>
  <c r="D38" i="7"/>
  <c r="Y13" i="7"/>
  <c r="AB27" i="7"/>
  <c r="AQ28" i="7" s="1"/>
  <c r="AO9" i="7"/>
  <c r="E50" i="7"/>
  <c r="AE29" i="7"/>
  <c r="AO30" i="7" s="1"/>
  <c r="D50" i="7"/>
  <c r="Y59" i="7"/>
  <c r="AF34" i="7"/>
  <c r="AP34" i="7" s="1"/>
  <c r="U42" i="7"/>
  <c r="Y43" i="7" s="1"/>
  <c r="E33" i="7"/>
  <c r="AE44" i="7"/>
  <c r="E58" i="7"/>
  <c r="D23" i="7"/>
  <c r="AQ23" i="7" s="1"/>
  <c r="Y21" i="7"/>
  <c r="F8" i="7"/>
  <c r="E38" i="7"/>
  <c r="AE49" i="7"/>
  <c r="AO50" i="7" s="1"/>
  <c r="AE18" i="7"/>
  <c r="AB57" i="7"/>
  <c r="AQ58" i="7" s="1"/>
  <c r="AB9" i="7"/>
  <c r="AE11" i="7"/>
  <c r="AO11" i="7" s="1"/>
  <c r="AG14" i="7"/>
  <c r="U14" i="7"/>
  <c r="Y15" i="7" s="1"/>
  <c r="Y60" i="7"/>
  <c r="U50" i="7"/>
  <c r="Y51" i="7" s="1"/>
  <c r="Y35" i="7"/>
  <c r="U53" i="7"/>
  <c r="Y54" i="7" s="1"/>
  <c r="U41" i="7"/>
  <c r="Y42" i="7" s="1"/>
  <c r="Y36" i="7"/>
  <c r="U47" i="7"/>
  <c r="Y48" i="7" s="1"/>
  <c r="Y6" i="7"/>
  <c r="AG8" i="7"/>
  <c r="AB7" i="7"/>
  <c r="AB46" i="7"/>
  <c r="AM47" i="7" s="1"/>
  <c r="AG23" i="7"/>
  <c r="S43" i="7"/>
  <c r="S15" i="7"/>
  <c r="AG16" i="7" s="1"/>
  <c r="AG11" i="7"/>
  <c r="AG26" i="7"/>
  <c r="X33" i="7"/>
  <c r="AG33" i="7" s="1"/>
  <c r="AG20" i="7"/>
  <c r="AB33" i="7"/>
  <c r="AQ34" i="7" s="1"/>
  <c r="AB18" i="7"/>
  <c r="AQ19" i="7" s="1"/>
  <c r="S41" i="7"/>
  <c r="AB41" i="7" s="1"/>
  <c r="AQ42" i="7" s="1"/>
  <c r="X46" i="7"/>
  <c r="AG46" i="7" s="1"/>
  <c r="AB22" i="7"/>
  <c r="AM23" i="7" s="1"/>
  <c r="S11" i="7"/>
  <c r="S48" i="7"/>
  <c r="X54" i="7"/>
  <c r="AG54" i="7" s="1"/>
  <c r="AB10" i="7"/>
  <c r="AB50" i="7"/>
  <c r="AB39" i="7"/>
  <c r="AB51" i="7"/>
  <c r="AB26" i="7"/>
  <c r="AM27" i="7" s="1"/>
  <c r="X40" i="7"/>
  <c r="AG40" i="7" s="1"/>
  <c r="X52" i="7"/>
  <c r="AG52" i="7" s="1"/>
  <c r="AG15" i="7"/>
  <c r="X51" i="7"/>
  <c r="AG51" i="7" s="1"/>
  <c r="X58" i="7"/>
  <c r="AG58" i="7" s="1"/>
  <c r="AB49" i="7"/>
  <c r="X38" i="7"/>
  <c r="AG38" i="7" s="1"/>
  <c r="X27" i="7"/>
  <c r="AG27" i="7" s="1"/>
  <c r="X39" i="7"/>
  <c r="AG39" i="7" s="1"/>
  <c r="X28" i="7"/>
  <c r="AG28" i="7" s="1"/>
  <c r="AB17" i="7"/>
  <c r="X30" i="7"/>
  <c r="AG30" i="7" s="1"/>
  <c r="AB29" i="7"/>
  <c r="AB59" i="7"/>
  <c r="AM59" i="7" s="1"/>
  <c r="AM24" i="7"/>
  <c r="AB53" i="7"/>
  <c r="X45" i="7"/>
  <c r="AG45" i="7" s="1"/>
  <c r="AB44" i="7"/>
  <c r="AB55" i="7"/>
  <c r="AB19" i="7"/>
  <c r="AQ20" i="7" s="1"/>
  <c r="X55" i="7"/>
  <c r="AG55" i="7" s="1"/>
  <c r="AB54" i="7"/>
  <c r="AQ55" i="7" s="1"/>
  <c r="AB38" i="7"/>
  <c r="AB37" i="7"/>
  <c r="AM37" i="7" s="1"/>
  <c r="X32" i="7"/>
  <c r="AG32" i="7" s="1"/>
  <c r="AB14" i="7"/>
  <c r="AB58" i="7"/>
  <c r="X50" i="7"/>
  <c r="AG50" i="7" s="1"/>
  <c r="AG18" i="7"/>
  <c r="AG21" i="7"/>
  <c r="X59" i="7"/>
  <c r="AG59" i="7" s="1"/>
  <c r="AB61" i="7"/>
  <c r="AG7" i="7"/>
  <c r="X34" i="7"/>
  <c r="AG34" i="7" s="1"/>
  <c r="AB34" i="7"/>
  <c r="AM34" i="7" s="1"/>
  <c r="X56" i="7"/>
  <c r="AG56" i="7" s="1"/>
  <c r="X43" i="7"/>
  <c r="AG43" i="7" s="1"/>
  <c r="AG24" i="7"/>
  <c r="X48" i="7"/>
  <c r="AG48" i="7" s="1"/>
  <c r="AB25" i="7"/>
  <c r="X57" i="7"/>
  <c r="AG57" i="7" s="1"/>
  <c r="AG19" i="7"/>
  <c r="AB31" i="7"/>
  <c r="AM10" i="7"/>
  <c r="AM9" i="7"/>
  <c r="X37" i="7"/>
  <c r="AG37" i="7" s="1"/>
  <c r="AB42" i="7"/>
  <c r="AQ43" i="7" s="1"/>
  <c r="X41" i="7"/>
  <c r="AG41" i="7" s="1"/>
  <c r="S16" i="7"/>
  <c r="AG17" i="7" s="1"/>
  <c r="X29" i="7"/>
  <c r="AG29" i="7" s="1"/>
  <c r="AG10" i="7"/>
  <c r="X53" i="7"/>
  <c r="AG53" i="7" s="1"/>
  <c r="AG9" i="7"/>
  <c r="AB32" i="7"/>
  <c r="AB21" i="7"/>
  <c r="AM21" i="7" s="1"/>
  <c r="AG22" i="7"/>
  <c r="D56" i="7"/>
  <c r="D36" i="7"/>
  <c r="D47" i="7"/>
  <c r="D15" i="7"/>
  <c r="AF22" i="7"/>
  <c r="AP22" i="7" s="1"/>
  <c r="D59" i="7"/>
  <c r="AF16" i="7"/>
  <c r="AP16" i="7" s="1"/>
  <c r="AF27" i="7"/>
  <c r="AP27" i="7" s="1"/>
  <c r="D6" i="7"/>
  <c r="AC7" i="7"/>
  <c r="H9" i="7"/>
  <c r="AC8" i="7"/>
  <c r="H8" i="7"/>
  <c r="E40" i="7"/>
  <c r="AF40" i="7" s="1"/>
  <c r="AP40" i="7" s="1"/>
  <c r="AF55" i="7"/>
  <c r="AP55" i="7" s="1"/>
  <c r="E17" i="7"/>
  <c r="E53" i="7"/>
  <c r="AF39" i="7"/>
  <c r="AP39" i="7" s="1"/>
  <c r="AF32" i="7"/>
  <c r="AP32" i="7" s="1"/>
  <c r="AF52" i="7"/>
  <c r="AP52" i="7" s="1"/>
  <c r="E29" i="7"/>
  <c r="AF29" i="7" s="1"/>
  <c r="AO28" i="7"/>
  <c r="AO58" i="7"/>
  <c r="AF49" i="7"/>
  <c r="AP49" i="7" s="1"/>
  <c r="AQ14" i="7"/>
  <c r="AI52" i="7"/>
  <c r="AS52" i="7" s="1"/>
  <c r="E26" i="10" s="1"/>
  <c r="AB28" i="7"/>
  <c r="AM28" i="7" s="1"/>
  <c r="AO48" i="7"/>
  <c r="AI40" i="7"/>
  <c r="AS40" i="7" s="1"/>
  <c r="AI28" i="7"/>
  <c r="AS28" i="7" s="1"/>
  <c r="AQ25" i="7"/>
  <c r="AQ37" i="7"/>
  <c r="AQ46" i="7"/>
  <c r="AB52" i="7"/>
  <c r="AE40" i="7"/>
  <c r="AB40" i="7"/>
  <c r="AO21" i="7"/>
  <c r="AQ10" i="7"/>
  <c r="AO22" i="7"/>
  <c r="AI16" i="7"/>
  <c r="AS16" i="7" s="1"/>
  <c r="AE16" i="7"/>
  <c r="AI6" i="7"/>
  <c r="AS6" i="7" s="1"/>
  <c r="AF7" i="7"/>
  <c r="AP7" i="7" s="1"/>
  <c r="E6" i="7"/>
  <c r="H5" i="7"/>
  <c r="AF35" i="7"/>
  <c r="AP35" i="7" s="1"/>
  <c r="AF28" i="7"/>
  <c r="AP28" i="7" s="1"/>
  <c r="E12" i="7"/>
  <c r="AQ21" i="7"/>
  <c r="AF42" i="7"/>
  <c r="AP42" i="7" s="1"/>
  <c r="E24" i="7"/>
  <c r="E36" i="7"/>
  <c r="E48" i="7"/>
  <c r="E60" i="7"/>
  <c r="E47" i="7"/>
  <c r="E11" i="7"/>
  <c r="AF26" i="7" l="1"/>
  <c r="AP26" i="7" s="1"/>
  <c r="AO13" i="7"/>
  <c r="AD9" i="7"/>
  <c r="AF61" i="7"/>
  <c r="AP61" i="7" s="1"/>
  <c r="AF53" i="7"/>
  <c r="AP53" i="7" s="1"/>
  <c r="AO33" i="7"/>
  <c r="Y9" i="7"/>
  <c r="AH7" i="7"/>
  <c r="AR6" i="7"/>
  <c r="AF13" i="7"/>
  <c r="AP13" i="7" s="1"/>
  <c r="AF51" i="7"/>
  <c r="AP51" i="7" s="1"/>
  <c r="AF25" i="7"/>
  <c r="AP25" i="7" s="1"/>
  <c r="AF14" i="7"/>
  <c r="AP14" i="7" s="1"/>
  <c r="B26" i="10"/>
  <c r="F26" i="10"/>
  <c r="AO29" i="7"/>
  <c r="AQ26" i="7"/>
  <c r="AM56" i="7"/>
  <c r="AO12" i="7"/>
  <c r="AQ51" i="7"/>
  <c r="AQ6" i="7"/>
  <c r="AM57" i="7"/>
  <c r="AO25" i="7"/>
  <c r="C20" i="10" s="1"/>
  <c r="AF9" i="7"/>
  <c r="AP9" i="7" s="1"/>
  <c r="AQ13" i="7"/>
  <c r="AM46" i="7"/>
  <c r="AM50" i="7"/>
  <c r="X36" i="7"/>
  <c r="AG36" i="7" s="1"/>
  <c r="AF38" i="7"/>
  <c r="AP38" i="7" s="1"/>
  <c r="AN6" i="7"/>
  <c r="AF54" i="7"/>
  <c r="AP54" i="7" s="1"/>
  <c r="AO60" i="7"/>
  <c r="AO53" i="7"/>
  <c r="E20" i="10" s="1"/>
  <c r="AQ45" i="7"/>
  <c r="AQ27" i="7"/>
  <c r="AF56" i="7"/>
  <c r="AP56" i="7" s="1"/>
  <c r="AO56" i="7"/>
  <c r="AF37" i="7"/>
  <c r="AP37" i="7" s="1"/>
  <c r="AM30" i="7"/>
  <c r="C26" i="10"/>
  <c r="AF15" i="7"/>
  <c r="AP15" i="7" s="1"/>
  <c r="AF59" i="7"/>
  <c r="AP59" i="7" s="1"/>
  <c r="AM31" i="7"/>
  <c r="AB15" i="7"/>
  <c r="AQ16" i="7" s="1"/>
  <c r="AM51" i="7"/>
  <c r="AR7" i="7"/>
  <c r="AN7" i="7"/>
  <c r="AM39" i="7"/>
  <c r="AM61" i="7"/>
  <c r="AO45" i="7"/>
  <c r="AO44" i="7"/>
  <c r="AQ59" i="7"/>
  <c r="AM7" i="7"/>
  <c r="AM8" i="7"/>
  <c r="AQ8" i="7"/>
  <c r="AF58" i="7"/>
  <c r="AP58" i="7" s="1"/>
  <c r="X61" i="7"/>
  <c r="AG61" i="7" s="1"/>
  <c r="AQ38" i="7"/>
  <c r="AQ18" i="7"/>
  <c r="AO49" i="7"/>
  <c r="AH8" i="7"/>
  <c r="AJ8" i="7" s="1"/>
  <c r="AF23" i="7"/>
  <c r="AP23" i="7" s="1"/>
  <c r="AR8" i="7"/>
  <c r="AN8" i="7"/>
  <c r="AM58" i="7"/>
  <c r="X42" i="7"/>
  <c r="AG42" i="7" s="1"/>
  <c r="AO19" i="7"/>
  <c r="AO18" i="7"/>
  <c r="AF19" i="7"/>
  <c r="AP19" i="7" s="1"/>
  <c r="AO7" i="7"/>
  <c r="AO8" i="7"/>
  <c r="AQ56" i="7"/>
  <c r="AF50" i="7"/>
  <c r="AP50" i="7" s="1"/>
  <c r="AF30" i="7"/>
  <c r="AP30" i="7" s="1"/>
  <c r="X44" i="7"/>
  <c r="AG44" i="7" s="1"/>
  <c r="AB43" i="7"/>
  <c r="AQ44" i="7" s="1"/>
  <c r="AM15" i="7"/>
  <c r="AM18" i="7"/>
  <c r="AM19" i="7"/>
  <c r="AB48" i="7"/>
  <c r="AB11" i="7"/>
  <c r="AM12" i="7" s="1"/>
  <c r="AQ50" i="7"/>
  <c r="AQ35" i="7"/>
  <c r="AB16" i="7"/>
  <c r="AM38" i="7"/>
  <c r="AG12" i="7"/>
  <c r="X49" i="7"/>
  <c r="AG49" i="7" s="1"/>
  <c r="AQ15" i="7"/>
  <c r="AM60" i="7"/>
  <c r="AM45" i="7"/>
  <c r="AM52" i="7"/>
  <c r="AQ40" i="7"/>
  <c r="AM20" i="7"/>
  <c r="AQ39" i="7"/>
  <c r="AM14" i="7"/>
  <c r="AQ52" i="7"/>
  <c r="AM35" i="7"/>
  <c r="AM55" i="7"/>
  <c r="AM54" i="7"/>
  <c r="AQ41" i="7"/>
  <c r="AQ54" i="7"/>
  <c r="AQ32" i="7"/>
  <c r="AM25" i="7"/>
  <c r="AM26" i="7"/>
  <c r="AM42" i="7"/>
  <c r="AM33" i="7"/>
  <c r="AM32" i="7"/>
  <c r="AM22" i="7"/>
  <c r="AQ22" i="7"/>
  <c r="AQ53" i="7"/>
  <c r="AM53" i="7"/>
  <c r="AQ33" i="7"/>
  <c r="AM29" i="7"/>
  <c r="AF6" i="7"/>
  <c r="AP6" i="7" s="1"/>
  <c r="AH6" i="7"/>
  <c r="F9" i="7"/>
  <c r="AH9" i="7" s="1"/>
  <c r="AC9" i="7"/>
  <c r="AP29" i="7"/>
  <c r="AQ29" i="7"/>
  <c r="AO41" i="7"/>
  <c r="AO40" i="7"/>
  <c r="AF41" i="7"/>
  <c r="AM40" i="7"/>
  <c r="AM41" i="7"/>
  <c r="AF17" i="7"/>
  <c r="AO16" i="7"/>
  <c r="AO17" i="7"/>
  <c r="AJ7" i="7"/>
  <c r="AF36" i="7"/>
  <c r="AP36" i="7" s="1"/>
  <c r="AQ36" i="7"/>
  <c r="AQ48" i="7"/>
  <c r="AF48" i="7"/>
  <c r="AP48" i="7" s="1"/>
  <c r="AF12" i="7"/>
  <c r="AP12" i="7" s="1"/>
  <c r="AF47" i="7"/>
  <c r="AP47" i="7" s="1"/>
  <c r="AQ47" i="7"/>
  <c r="AF11" i="7"/>
  <c r="AP11" i="7" s="1"/>
  <c r="AQ11" i="7"/>
  <c r="AF60" i="7"/>
  <c r="AP60" i="7" s="1"/>
  <c r="AQ60" i="7"/>
  <c r="AF24" i="7"/>
  <c r="AQ24" i="7"/>
  <c r="D20" i="10" l="1"/>
  <c r="AT8" i="7"/>
  <c r="AT7" i="7"/>
  <c r="AM43" i="7"/>
  <c r="AM44" i="7"/>
  <c r="AM16" i="7"/>
  <c r="AQ17" i="7"/>
  <c r="AR9" i="7"/>
  <c r="AN9" i="7"/>
  <c r="AM17" i="7"/>
  <c r="E24" i="10"/>
  <c r="AQ49" i="7"/>
  <c r="D24" i="10" s="1"/>
  <c r="AM48" i="7"/>
  <c r="C18" i="10"/>
  <c r="AM49" i="7"/>
  <c r="AQ12" i="7"/>
  <c r="AM11" i="7"/>
  <c r="E18" i="10"/>
  <c r="D18" i="10"/>
  <c r="C24" i="10"/>
  <c r="AT6" i="7"/>
  <c r="AJ6" i="7"/>
  <c r="AJ9" i="7"/>
  <c r="AD10" i="7"/>
  <c r="AC10" i="7"/>
  <c r="H10" i="7"/>
  <c r="F10" i="7"/>
  <c r="F20" i="10"/>
  <c r="B20" i="10"/>
  <c r="AP17" i="7"/>
  <c r="B21" i="10" s="1"/>
  <c r="E21" i="10"/>
  <c r="AP41" i="7"/>
  <c r="AP24" i="7"/>
  <c r="F18" i="10" l="1"/>
  <c r="B24" i="10"/>
  <c r="F24" i="10"/>
  <c r="AR10" i="7"/>
  <c r="AN10" i="7"/>
  <c r="B18" i="10"/>
  <c r="AH10" i="7"/>
  <c r="AJ10" i="7" s="1"/>
  <c r="F11" i="7"/>
  <c r="AD11" i="7"/>
  <c r="H11" i="7"/>
  <c r="AH11" i="7" s="1"/>
  <c r="AC11" i="7"/>
  <c r="AT9" i="7"/>
  <c r="D21" i="10"/>
  <c r="C21" i="10"/>
  <c r="F21" i="10"/>
  <c r="AR11" i="7" l="1"/>
  <c r="AN11" i="7"/>
  <c r="AT10" i="7"/>
  <c r="AD12" i="7"/>
  <c r="AC12" i="7"/>
  <c r="F12" i="7"/>
  <c r="H12" i="7"/>
  <c r="AH12" i="7" s="1"/>
  <c r="AJ11" i="7"/>
  <c r="AN12" i="7" l="1"/>
  <c r="AR12" i="7"/>
  <c r="AT11" i="7"/>
  <c r="AD13" i="7"/>
  <c r="AC13" i="7"/>
  <c r="F13" i="7"/>
  <c r="H13" i="7"/>
  <c r="AH13" i="7" s="1"/>
  <c r="AJ12" i="7"/>
  <c r="AN13" i="7" l="1"/>
  <c r="AR13" i="7"/>
  <c r="AT12" i="7"/>
  <c r="H14" i="7"/>
  <c r="AC14" i="7"/>
  <c r="AD14" i="7"/>
  <c r="F14" i="7"/>
  <c r="AJ13" i="7"/>
  <c r="AH14" i="7" l="1"/>
  <c r="AJ14" i="7" s="1"/>
  <c r="AC15" i="7"/>
  <c r="F15" i="7"/>
  <c r="AD15" i="7"/>
  <c r="H15" i="7"/>
  <c r="AH15" i="7" s="1"/>
  <c r="AN14" i="7"/>
  <c r="AR14" i="7"/>
  <c r="AT13" i="7"/>
  <c r="AJ15" i="7" l="1"/>
  <c r="F16" i="7"/>
  <c r="H16" i="7"/>
  <c r="AH16" i="7" s="1"/>
  <c r="AD16" i="7"/>
  <c r="AC16" i="7"/>
  <c r="AT14" i="7"/>
  <c r="AR15" i="7"/>
  <c r="AN15" i="7"/>
  <c r="H17" i="7" l="1"/>
  <c r="AD17" i="7"/>
  <c r="T17" i="7"/>
  <c r="AC17" i="7" s="1"/>
  <c r="F17" i="7"/>
  <c r="AJ16" i="7"/>
  <c r="AN16" i="7"/>
  <c r="AR16" i="7"/>
  <c r="AT15" i="7"/>
  <c r="AT16" i="7" l="1"/>
  <c r="T18" i="7"/>
  <c r="AC18" i="7" s="1"/>
  <c r="F18" i="7"/>
  <c r="H18" i="7"/>
  <c r="AH18" i="7" s="1"/>
  <c r="AD18" i="7"/>
  <c r="AR17" i="7"/>
  <c r="AN17" i="7"/>
  <c r="AH17" i="7"/>
  <c r="AJ17" i="7" s="1"/>
  <c r="AR18" i="7" l="1"/>
  <c r="AN18" i="7"/>
  <c r="AT18" i="7" s="1"/>
  <c r="AJ18" i="7"/>
  <c r="T19" i="7"/>
  <c r="AC19" i="7" s="1"/>
  <c r="AD19" i="7"/>
  <c r="F19" i="7"/>
  <c r="H19" i="7"/>
  <c r="AH19" i="7" s="1"/>
  <c r="AT17" i="7"/>
  <c r="AJ19" i="7" l="1"/>
  <c r="AR19" i="7"/>
  <c r="B25" i="10" s="1"/>
  <c r="AN19" i="7"/>
  <c r="F20" i="7"/>
  <c r="T20" i="7"/>
  <c r="AC20" i="7" s="1"/>
  <c r="AD20" i="7"/>
  <c r="H20" i="7"/>
  <c r="AH20" i="7" s="1"/>
  <c r="AJ20" i="7" s="1"/>
  <c r="T21" i="7" l="1"/>
  <c r="AC21" i="7" s="1"/>
  <c r="AD21" i="7"/>
  <c r="F21" i="7"/>
  <c r="H21" i="7"/>
  <c r="AH21" i="7" s="1"/>
  <c r="AR20" i="7"/>
  <c r="AN20" i="7"/>
  <c r="AT19" i="7"/>
  <c r="B19" i="10"/>
  <c r="B22" i="10" s="1"/>
  <c r="AT20" i="7" l="1"/>
  <c r="AJ21" i="7"/>
  <c r="B27" i="10"/>
  <c r="B28" i="10" s="1"/>
  <c r="T22" i="7"/>
  <c r="AC22" i="7" s="1"/>
  <c r="AD22" i="7"/>
  <c r="H22" i="7"/>
  <c r="F22" i="7"/>
  <c r="AN21" i="7"/>
  <c r="AR21" i="7"/>
  <c r="AT21" i="7" l="1"/>
  <c r="F23" i="7"/>
  <c r="AD23" i="7"/>
  <c r="H23" i="7"/>
  <c r="AH23" i="7" s="1"/>
  <c r="T23" i="7"/>
  <c r="AC23" i="7" s="1"/>
  <c r="AN22" i="7"/>
  <c r="AR22" i="7"/>
  <c r="AH22" i="7"/>
  <c r="AJ22" i="7" s="1"/>
  <c r="AN23" i="7" l="1"/>
  <c r="AR23" i="7"/>
  <c r="AT22" i="7"/>
  <c r="AJ23" i="7"/>
  <c r="T24" i="7"/>
  <c r="AC24" i="7" s="1"/>
  <c r="AD24" i="7"/>
  <c r="F24" i="7"/>
  <c r="H24" i="7"/>
  <c r="T25" i="7" l="1"/>
  <c r="AC25" i="7" s="1"/>
  <c r="AD25" i="7"/>
  <c r="H25" i="7"/>
  <c r="F25" i="7"/>
  <c r="AH24" i="7"/>
  <c r="AR24" i="7"/>
  <c r="AN24" i="7"/>
  <c r="AT24" i="7" s="1"/>
  <c r="AJ24" i="7"/>
  <c r="AT23" i="7"/>
  <c r="AD26" i="7" l="1"/>
  <c r="F26" i="7"/>
  <c r="H26" i="7"/>
  <c r="AH26" i="7" s="1"/>
  <c r="AJ26" i="7" s="1"/>
  <c r="T26" i="7"/>
  <c r="AC26" i="7" s="1"/>
  <c r="AN25" i="7"/>
  <c r="AR25" i="7"/>
  <c r="AH25" i="7"/>
  <c r="AJ25" i="7" s="1"/>
  <c r="AN26" i="7" l="1"/>
  <c r="AR26" i="7"/>
  <c r="AT25" i="7"/>
  <c r="T27" i="7"/>
  <c r="AC27" i="7" s="1"/>
  <c r="AD27" i="7"/>
  <c r="F27" i="7"/>
  <c r="H27" i="7"/>
  <c r="AH27" i="7" s="1"/>
  <c r="AN27" i="7" l="1"/>
  <c r="AR27" i="7"/>
  <c r="AJ27" i="7"/>
  <c r="AD28" i="7"/>
  <c r="F28" i="7"/>
  <c r="T28" i="7"/>
  <c r="AC28" i="7" s="1"/>
  <c r="H28" i="7"/>
  <c r="AT26" i="7"/>
  <c r="AN28" i="7" l="1"/>
  <c r="AR28" i="7"/>
  <c r="AH28" i="7"/>
  <c r="AJ28" i="7" s="1"/>
  <c r="F29" i="7"/>
  <c r="AD29" i="7"/>
  <c r="T29" i="7"/>
  <c r="AC29" i="7" s="1"/>
  <c r="H29" i="7"/>
  <c r="AH29" i="7" s="1"/>
  <c r="AT27" i="7"/>
  <c r="AR29" i="7" l="1"/>
  <c r="AN29" i="7"/>
  <c r="AT29" i="7" s="1"/>
  <c r="AJ29" i="7"/>
  <c r="T30" i="7"/>
  <c r="AC30" i="7" s="1"/>
  <c r="AD30" i="7"/>
  <c r="H30" i="7"/>
  <c r="F30" i="7"/>
  <c r="AT28" i="7"/>
  <c r="AH30" i="7" l="1"/>
  <c r="AJ30" i="7" s="1"/>
  <c r="AR30" i="7"/>
  <c r="AN30" i="7"/>
  <c r="AT30" i="7" s="1"/>
  <c r="T31" i="7"/>
  <c r="AC31" i="7" s="1"/>
  <c r="AD31" i="7"/>
  <c r="F31" i="7"/>
  <c r="H31" i="7"/>
  <c r="AH31" i="7" l="1"/>
  <c r="AJ31" i="7" s="1"/>
  <c r="AD32" i="7"/>
  <c r="H32" i="7"/>
  <c r="F32" i="7"/>
  <c r="T32" i="7"/>
  <c r="AC32" i="7" s="1"/>
  <c r="AN31" i="7"/>
  <c r="AR31" i="7"/>
  <c r="C25" i="10" s="1"/>
  <c r="T33" i="7" l="1"/>
  <c r="AC33" i="7" s="1"/>
  <c r="AD33" i="7"/>
  <c r="F33" i="7"/>
  <c r="H33" i="7"/>
  <c r="AH33" i="7" s="1"/>
  <c r="AJ33" i="7" s="1"/>
  <c r="AH32" i="7"/>
  <c r="AT31" i="7"/>
  <c r="C19" i="10"/>
  <c r="C22" i="10" s="1"/>
  <c r="AR32" i="7"/>
  <c r="AN32" i="7"/>
  <c r="AJ32" i="7"/>
  <c r="H34" i="7" l="1"/>
  <c r="F34" i="7"/>
  <c r="T34" i="7"/>
  <c r="AC34" i="7" s="1"/>
  <c r="AD34" i="7"/>
  <c r="AT32" i="7"/>
  <c r="C27" i="10"/>
  <c r="C28" i="10" s="1"/>
  <c r="AN33" i="7"/>
  <c r="AR33" i="7"/>
  <c r="AT33" i="7" l="1"/>
  <c r="AD35" i="7"/>
  <c r="F35" i="7"/>
  <c r="H35" i="7"/>
  <c r="AH35" i="7" s="1"/>
  <c r="AJ35" i="7" s="1"/>
  <c r="T35" i="7"/>
  <c r="AC35" i="7" s="1"/>
  <c r="AR34" i="7"/>
  <c r="AN34" i="7"/>
  <c r="AT34" i="7" s="1"/>
  <c r="AH34" i="7"/>
  <c r="AJ34" i="7" s="1"/>
  <c r="AN35" i="7" l="1"/>
  <c r="AR35" i="7"/>
  <c r="T36" i="7"/>
  <c r="AC36" i="7" s="1"/>
  <c r="AD36" i="7"/>
  <c r="H36" i="7"/>
  <c r="F36" i="7"/>
  <c r="AH36" i="7" l="1"/>
  <c r="AJ36" i="7"/>
  <c r="AT35" i="7"/>
  <c r="AN36" i="7"/>
  <c r="AR36" i="7"/>
  <c r="F37" i="7"/>
  <c r="H37" i="7"/>
  <c r="AH37" i="7" s="1"/>
  <c r="T37" i="7"/>
  <c r="AC37" i="7" s="1"/>
  <c r="AD37" i="7"/>
  <c r="AJ37" i="7" l="1"/>
  <c r="T38" i="7"/>
  <c r="AC38" i="7" s="1"/>
  <c r="AD38" i="7"/>
  <c r="F38" i="7"/>
  <c r="H38" i="7"/>
  <c r="AH38" i="7" s="1"/>
  <c r="AJ38" i="7" s="1"/>
  <c r="AT36" i="7"/>
  <c r="AR37" i="7"/>
  <c r="AN37" i="7"/>
  <c r="AT37" i="7" l="1"/>
  <c r="T39" i="7"/>
  <c r="AC39" i="7" s="1"/>
  <c r="AD39" i="7"/>
  <c r="F39" i="7"/>
  <c r="H39" i="7"/>
  <c r="AH39" i="7" s="1"/>
  <c r="AJ39" i="7" s="1"/>
  <c r="AN38" i="7"/>
  <c r="AR38" i="7"/>
  <c r="AN39" i="7" l="1"/>
  <c r="AR39" i="7"/>
  <c r="AT38" i="7"/>
  <c r="F40" i="7"/>
  <c r="H40" i="7"/>
  <c r="AH40" i="7" s="1"/>
  <c r="AD40" i="7"/>
  <c r="T40" i="7"/>
  <c r="AC40" i="7" s="1"/>
  <c r="AJ40" i="7" l="1"/>
  <c r="AN40" i="7"/>
  <c r="AR40" i="7"/>
  <c r="AD41" i="7"/>
  <c r="F41" i="7"/>
  <c r="H41" i="7"/>
  <c r="AH41" i="7" s="1"/>
  <c r="T41" i="7"/>
  <c r="AC41" i="7" s="1"/>
  <c r="AT39" i="7"/>
  <c r="AT40" i="7" l="1"/>
  <c r="AR41" i="7"/>
  <c r="AN41" i="7"/>
  <c r="AJ41" i="7"/>
  <c r="T42" i="7"/>
  <c r="AC42" i="7" s="1"/>
  <c r="AD42" i="7"/>
  <c r="F42" i="7"/>
  <c r="H42" i="7"/>
  <c r="AH42" i="7" s="1"/>
  <c r="AT41" i="7" l="1"/>
  <c r="AR42" i="7"/>
  <c r="AN42" i="7"/>
  <c r="AJ42" i="7"/>
  <c r="T43" i="7"/>
  <c r="AC43" i="7" s="1"/>
  <c r="AD43" i="7"/>
  <c r="F43" i="7"/>
  <c r="H43" i="7"/>
  <c r="AH43" i="7" s="1"/>
  <c r="AJ43" i="7" s="1"/>
  <c r="AT42" i="7" l="1"/>
  <c r="T44" i="7"/>
  <c r="AC44" i="7" s="1"/>
  <c r="AD44" i="7"/>
  <c r="H44" i="7"/>
  <c r="F44" i="7"/>
  <c r="AR43" i="7"/>
  <c r="AN43" i="7"/>
  <c r="AT43" i="7" s="1"/>
  <c r="AH44" i="7" l="1"/>
  <c r="AJ44" i="7" s="1"/>
  <c r="T45" i="7"/>
  <c r="AC45" i="7" s="1"/>
  <c r="AD45" i="7"/>
  <c r="H45" i="7"/>
  <c r="F45" i="7"/>
  <c r="AN44" i="7"/>
  <c r="AR44" i="7"/>
  <c r="AT44" i="7" l="1"/>
  <c r="AH45" i="7"/>
  <c r="T46" i="7"/>
  <c r="AC46" i="7" s="1"/>
  <c r="AD46" i="7"/>
  <c r="F46" i="7"/>
  <c r="H46" i="7"/>
  <c r="AH46" i="7" s="1"/>
  <c r="AN45" i="7"/>
  <c r="AR45" i="7"/>
  <c r="AJ45" i="7"/>
  <c r="AT45" i="7" l="1"/>
  <c r="AJ46" i="7"/>
  <c r="H47" i="7"/>
  <c r="F47" i="7"/>
  <c r="AD47" i="7"/>
  <c r="T47" i="7"/>
  <c r="AC47" i="7" s="1"/>
  <c r="AR46" i="7"/>
  <c r="AN46" i="7"/>
  <c r="AT46" i="7" s="1"/>
  <c r="AR47" i="7" l="1"/>
  <c r="AN47" i="7"/>
  <c r="AT47" i="7" s="1"/>
  <c r="T48" i="7"/>
  <c r="AC48" i="7" s="1"/>
  <c r="AD48" i="7"/>
  <c r="F48" i="7"/>
  <c r="H48" i="7"/>
  <c r="AH48" i="7" s="1"/>
  <c r="AH47" i="7"/>
  <c r="AJ47" i="7" s="1"/>
  <c r="AJ48" i="7" l="1"/>
  <c r="AN48" i="7"/>
  <c r="AR48" i="7"/>
  <c r="T49" i="7"/>
  <c r="AC49" i="7" s="1"/>
  <c r="AD49" i="7"/>
  <c r="H49" i="7"/>
  <c r="F49" i="7"/>
  <c r="AT48" i="7" l="1"/>
  <c r="AD50" i="7"/>
  <c r="F50" i="7"/>
  <c r="H50" i="7"/>
  <c r="AH50" i="7" s="1"/>
  <c r="AJ50" i="7" s="1"/>
  <c r="T50" i="7"/>
  <c r="AC50" i="7" s="1"/>
  <c r="AH49" i="7"/>
  <c r="AJ49" i="7" s="1"/>
  <c r="AN49" i="7"/>
  <c r="AR49" i="7"/>
  <c r="AT49" i="7" l="1"/>
  <c r="AN50" i="7"/>
  <c r="AR50" i="7"/>
  <c r="D25" i="10" s="1"/>
  <c r="T51" i="7"/>
  <c r="AC51" i="7" s="1"/>
  <c r="AD51" i="7"/>
  <c r="F51" i="7"/>
  <c r="H51" i="7"/>
  <c r="AH51" i="7" s="1"/>
  <c r="AJ51" i="7" s="1"/>
  <c r="AD52" i="7" l="1"/>
  <c r="F52" i="7"/>
  <c r="H52" i="7"/>
  <c r="AH52" i="7" s="1"/>
  <c r="T52" i="7"/>
  <c r="AC52" i="7" s="1"/>
  <c r="AN51" i="7"/>
  <c r="AR51" i="7"/>
  <c r="AT50" i="7"/>
  <c r="D19" i="10"/>
  <c r="D22" i="10" s="1"/>
  <c r="AT51" i="7" l="1"/>
  <c r="D27" i="10"/>
  <c r="D28" i="10" s="1"/>
  <c r="AN52" i="7"/>
  <c r="AR52" i="7"/>
  <c r="F53" i="7"/>
  <c r="H53" i="7"/>
  <c r="AH53" i="7" s="1"/>
  <c r="AD53" i="7"/>
  <c r="T53" i="7"/>
  <c r="AC53" i="7" s="1"/>
  <c r="AJ52" i="7"/>
  <c r="AR53" i="7" l="1"/>
  <c r="AN53" i="7"/>
  <c r="AT53" i="7" s="1"/>
  <c r="AJ53" i="7"/>
  <c r="AT52" i="7"/>
  <c r="AD54" i="7"/>
  <c r="T54" i="7"/>
  <c r="AC54" i="7" s="1"/>
  <c r="F54" i="7"/>
  <c r="H54" i="7"/>
  <c r="H55" i="7" l="1"/>
  <c r="T55" i="7"/>
  <c r="AC55" i="7" s="1"/>
  <c r="AD55" i="7"/>
  <c r="F55" i="7"/>
  <c r="AH54" i="7"/>
  <c r="AJ54" i="7" s="1"/>
  <c r="AN54" i="7"/>
  <c r="AR54" i="7"/>
  <c r="AH55" i="7" l="1"/>
  <c r="AN55" i="7"/>
  <c r="AR55" i="7"/>
  <c r="AT54" i="7"/>
  <c r="AJ55" i="7"/>
  <c r="AD56" i="7"/>
  <c r="F56" i="7"/>
  <c r="H56" i="7"/>
  <c r="AH56" i="7" s="1"/>
  <c r="T56" i="7"/>
  <c r="AC56" i="7" s="1"/>
  <c r="AR56" i="7" l="1"/>
  <c r="AN56" i="7"/>
  <c r="AJ56" i="7"/>
  <c r="T57" i="7"/>
  <c r="AC57" i="7" s="1"/>
  <c r="AD57" i="7"/>
  <c r="F57" i="7"/>
  <c r="H57" i="7"/>
  <c r="AH57" i="7" s="1"/>
  <c r="AJ57" i="7" s="1"/>
  <c r="AT55" i="7"/>
  <c r="AT56" i="7" l="1"/>
  <c r="AN57" i="7"/>
  <c r="AR57" i="7"/>
  <c r="AT57" i="7" s="1"/>
  <c r="H58" i="7"/>
  <c r="T58" i="7"/>
  <c r="AC58" i="7" s="1"/>
  <c r="AD58" i="7"/>
  <c r="F58" i="7"/>
  <c r="AN58" i="7" l="1"/>
  <c r="AR58" i="7"/>
  <c r="AD59" i="7"/>
  <c r="F59" i="7"/>
  <c r="T59" i="7"/>
  <c r="AC59" i="7" s="1"/>
  <c r="H59" i="7"/>
  <c r="AH59" i="7" s="1"/>
  <c r="AH58" i="7"/>
  <c r="AJ58" i="7" s="1"/>
  <c r="AR59" i="7" l="1"/>
  <c r="AN59" i="7"/>
  <c r="AJ59" i="7"/>
  <c r="T60" i="7"/>
  <c r="AC60" i="7" s="1"/>
  <c r="AD60" i="7"/>
  <c r="F60" i="7"/>
  <c r="H60" i="7"/>
  <c r="AH60" i="7" s="1"/>
  <c r="AT58" i="7"/>
  <c r="AN60" i="7" l="1"/>
  <c r="AR60" i="7"/>
  <c r="AJ60" i="7"/>
  <c r="AT59" i="7"/>
  <c r="F61" i="7"/>
  <c r="H61" i="7"/>
  <c r="T61" i="7"/>
  <c r="AC61" i="7" s="1"/>
  <c r="AD61" i="7"/>
  <c r="AH61" i="7" l="1"/>
  <c r="AJ61" i="7" s="1"/>
  <c r="AT60" i="7"/>
  <c r="AN61" i="7"/>
  <c r="AR61" i="7"/>
  <c r="F25" i="10" l="1"/>
  <c r="E25" i="10"/>
  <c r="AT61" i="7"/>
  <c r="F19" i="10"/>
  <c r="F22" i="10" s="1"/>
  <c r="E19" i="10"/>
  <c r="E22" i="10" s="1"/>
  <c r="F27" i="10" l="1"/>
  <c r="F28" i="10" s="1"/>
  <c r="E27" i="10"/>
  <c r="E28" i="10" s="1"/>
</calcChain>
</file>

<file path=xl/sharedStrings.xml><?xml version="1.0" encoding="utf-8"?>
<sst xmlns="http://schemas.openxmlformats.org/spreadsheetml/2006/main" count="121" uniqueCount="91">
  <si>
    <t>Venezuela Database</t>
  </si>
  <si>
    <t>1960-2016</t>
  </si>
  <si>
    <t>Years</t>
  </si>
  <si>
    <t>Total</t>
  </si>
  <si>
    <t>nom gdp</t>
  </si>
  <si>
    <t>B</t>
  </si>
  <si>
    <t>M</t>
  </si>
  <si>
    <t>P*</t>
  </si>
  <si>
    <t>LHS</t>
  </si>
  <si>
    <t>RHS</t>
  </si>
  <si>
    <t>D</t>
  </si>
  <si>
    <t>T</t>
  </si>
  <si>
    <t>RER</t>
  </si>
  <si>
    <t>θ</t>
  </si>
  <si>
    <t>m</t>
  </si>
  <si>
    <t>d</t>
  </si>
  <si>
    <t>real gdp</t>
  </si>
  <si>
    <t>g</t>
  </si>
  <si>
    <t>pi</t>
  </si>
  <si>
    <t>pi*</t>
  </si>
  <si>
    <t>t</t>
  </si>
  <si>
    <t>m-m_1</t>
  </si>
  <si>
    <t>θ-θ_1</t>
  </si>
  <si>
    <t>m_1/(gpi)-m_1</t>
  </si>
  <si>
    <t>D Primary</t>
  </si>
  <si>
    <t>R</t>
  </si>
  <si>
    <t>r*</t>
  </si>
  <si>
    <t>B_R_</t>
  </si>
  <si>
    <t>EB*_r*_</t>
  </si>
  <si>
    <t>θ_1*(R/gpi)</t>
  </si>
  <si>
    <t>ξθ*_1*(r*/gpi*)</t>
  </si>
  <si>
    <t>θ_1*(R/gpi)-θ_1</t>
  </si>
  <si>
    <t>ξ(θ*-θ*_1)</t>
  </si>
  <si>
    <t>ξθ*_1*(r*/(gpi*)-1)</t>
  </si>
  <si>
    <t>B*</t>
  </si>
  <si>
    <t>xi</t>
  </si>
  <si>
    <t>θ*</t>
  </si>
  <si>
    <t>Sources</t>
  </si>
  <si>
    <t>1961–74</t>
  </si>
  <si>
    <t>1975–86</t>
  </si>
  <si>
    <t>1987–2005</t>
  </si>
  <si>
    <t>2006–16</t>
  </si>
  <si>
    <t>1961–2016</t>
  </si>
  <si>
    <t>(1) Internal debt</t>
  </si>
  <si>
    <t>−0.04</t>
  </si>
  <si>
    <t>−0.67</t>
  </si>
  <si>
    <t>(2) External debt</t>
  </si>
  <si>
    <t>−0.02</t>
  </si>
  <si>
    <t>−1.73</t>
  </si>
  <si>
    <t>−0.26</t>
  </si>
  <si>
    <t>(3) Seigniorage</t>
  </si>
  <si>
    <t>−0.07</t>
  </si>
  <si>
    <t>(4) Inflation tax</t>
  </si>
  <si>
    <t>Obligations</t>
  </si>
  <si>
    <t>(1) Internal return</t>
  </si>
  <si>
    <t>−0.17</t>
  </si>
  <si>
    <t>−0.46</t>
  </si>
  <si>
    <t>−1.14</t>
  </si>
  <si>
    <t>−2.10</t>
  </si>
  <si>
    <t>−0.90</t>
  </si>
  <si>
    <t>(2) External return</t>
  </si>
  <si>
    <t>−0.12</t>
  </si>
  <si>
    <t>(3) Primary deficit</t>
  </si>
  <si>
    <t>−0.91</t>
  </si>
  <si>
    <t>−0.45</t>
  </si>
  <si>
    <t>−0.86</t>
  </si>
  <si>
    <t>(4) Transfers</t>
  </si>
  <si>
    <t>year</t>
  </si>
  <si>
    <t>per-capita real gdp</t>
  </si>
  <si>
    <t>nominal gdp</t>
  </si>
  <si>
    <t>inflation rate</t>
  </si>
  <si>
    <t>total deficit</t>
  </si>
  <si>
    <t>primary defict</t>
  </si>
  <si>
    <t>total debt</t>
  </si>
  <si>
    <t>external debt</t>
  </si>
  <si>
    <t>domestic debt</t>
  </si>
  <si>
    <t>indexed debt</t>
  </si>
  <si>
    <t>total interest payments</t>
  </si>
  <si>
    <t>interest on external debt</t>
  </si>
  <si>
    <t>interest on domestic debt</t>
  </si>
  <si>
    <t>interest on indexed debt</t>
  </si>
  <si>
    <t>exchange rate</t>
  </si>
  <si>
    <t>monetary base</t>
  </si>
  <si>
    <t>GDP deflator</t>
  </si>
  <si>
    <t>NER</t>
  </si>
  <si>
    <t>CPI USA</t>
  </si>
  <si>
    <t>deflator</t>
  </si>
  <si>
    <t>real GDP</t>
  </si>
  <si>
    <t>Note: The numbers in the first printing of the book computed implicit interest rates for period t using outstanding debt in that period as a base. The new data uses outstanding debt in t-1.</t>
  </si>
  <si>
    <t>Table 1, first printing of the book</t>
  </si>
  <si>
    <t>Table 1,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</si>
</sst>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color rgb="FF363636"/>
      <name val="Times New Roman"/>
      <family val="1"/>
    </font>
    <font>
      <sz val="11"/>
      <name val="Arial"/>
      <family val="2"/>
    </font>
    <font>
      <sz val="11"/>
      <color rgb="FF363636"/>
      <name val="Times New Roman"/>
      <family val="1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9" fontId="4" fillId="0" borderId="0" applyFill="0" applyBorder="0" applyAlignment="0" applyProtection="0"/>
  </cellStyleXfs>
  <cellXfs count="46">
    <xf numFmtId="0" fontId="0" fillId="0" borderId="0" xfId="0"/>
    <xf numFmtId="164" fontId="0" fillId="0" borderId="0" xfId="0" applyNumberFormat="1" applyFont="1"/>
    <xf numFmtId="164" fontId="0" fillId="0" borderId="0" xfId="0" applyNumberFormat="1"/>
    <xf numFmtId="2" fontId="0" fillId="0" borderId="0" xfId="0" applyNumberFormat="1"/>
    <xf numFmtId="164" fontId="1" fillId="0" borderId="0" xfId="1" applyNumberFormat="1" applyAlignment="1">
      <alignment horizontal="right"/>
    </xf>
    <xf numFmtId="164" fontId="1" fillId="0" borderId="0" xfId="1" applyNumberFormat="1"/>
    <xf numFmtId="1" fontId="0" fillId="0" borderId="0" xfId="0" applyNumberFormat="1"/>
    <xf numFmtId="0" fontId="3" fillId="2" borderId="0" xfId="0" applyFont="1" applyFill="1"/>
    <xf numFmtId="0" fontId="0" fillId="0" borderId="1" xfId="0" applyBorder="1"/>
    <xf numFmtId="0" fontId="0" fillId="0" borderId="2" xfId="0" applyBorder="1"/>
    <xf numFmtId="1" fontId="0" fillId="0" borderId="0" xfId="0" applyNumberFormat="1" applyBorder="1"/>
    <xf numFmtId="1" fontId="0" fillId="0" borderId="3" xfId="0" applyNumberFormat="1" applyBorder="1"/>
    <xf numFmtId="0" fontId="2" fillId="0" borderId="1" xfId="0" applyFont="1" applyBorder="1"/>
    <xf numFmtId="165" fontId="0" fillId="0" borderId="0" xfId="0" applyNumberFormat="1" applyBorder="1"/>
    <xf numFmtId="165" fontId="0" fillId="0" borderId="3" xfId="0" applyNumberFormat="1" applyBorder="1"/>
    <xf numFmtId="165" fontId="0" fillId="0" borderId="0" xfId="0" applyNumberFormat="1"/>
    <xf numFmtId="0" fontId="0" fillId="0" borderId="0" xfId="0" applyAlignment="1"/>
    <xf numFmtId="166" fontId="0" fillId="0" borderId="0" xfId="0" applyNumberFormat="1"/>
    <xf numFmtId="0" fontId="0" fillId="0" borderId="0" xfId="0" applyFill="1"/>
    <xf numFmtId="0" fontId="2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165" fontId="0" fillId="0" borderId="0" xfId="0" applyNumberFormat="1" applyFill="1" applyBorder="1"/>
    <xf numFmtId="165" fontId="0" fillId="0" borderId="3" xfId="0" applyNumberFormat="1" applyFill="1" applyBorder="1"/>
    <xf numFmtId="165" fontId="0" fillId="0" borderId="0" xfId="0" applyNumberFormat="1" applyFill="1"/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0" xfId="0" applyFont="1"/>
    <xf numFmtId="0" fontId="0" fillId="0" borderId="0" xfId="0" applyFont="1"/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top"/>
    </xf>
    <xf numFmtId="0" fontId="8" fillId="0" borderId="0" xfId="0" applyFont="1" applyAlignment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left" vertical="top"/>
    </xf>
    <xf numFmtId="2" fontId="9" fillId="3" borderId="0" xfId="0" applyNumberFormat="1" applyFont="1" applyFill="1" applyAlignment="1">
      <alignment horizontal="center" vertical="top"/>
    </xf>
    <xf numFmtId="0" fontId="7" fillId="3" borderId="0" xfId="0" applyFont="1" applyFill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2" fontId="9" fillId="3" borderId="5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left" vertical="center"/>
    </xf>
    <xf numFmtId="0" fontId="10" fillId="0" borderId="0" xfId="0" applyFont="1" applyAlignment="1"/>
    <xf numFmtId="0" fontId="9" fillId="3" borderId="0" xfId="0" applyFont="1" applyFill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</cellXfs>
  <cellStyles count="3">
    <cellStyle name="Normal" xfId="0" builtinId="0"/>
    <cellStyle name="Normal_Libro1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/>
  </sheetViews>
  <sheetFormatPr defaultColWidth="11.453125" defaultRowHeight="12.5" x14ac:dyDescent="0.25"/>
  <cols>
    <col min="2" max="2" width="17.453125" bestFit="1" customWidth="1"/>
    <col min="3" max="3" width="17.453125" customWidth="1"/>
    <col min="4" max="4" width="12.54296875" bestFit="1" customWidth="1"/>
    <col min="6" max="9" width="13.453125" bestFit="1" customWidth="1"/>
    <col min="10" max="10" width="13.453125" customWidth="1"/>
  </cols>
  <sheetData>
    <row r="1" spans="1:23" x14ac:dyDescent="0.25">
      <c r="A1" t="s">
        <v>67</v>
      </c>
      <c r="B1" t="s">
        <v>68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  <c r="L1" t="s">
        <v>78</v>
      </c>
      <c r="M1" t="s">
        <v>79</v>
      </c>
      <c r="N1" t="s">
        <v>80</v>
      </c>
      <c r="O1" t="s">
        <v>81</v>
      </c>
      <c r="P1" t="s">
        <v>82</v>
      </c>
      <c r="Q1" t="s">
        <v>83</v>
      </c>
      <c r="R1" t="s">
        <v>85</v>
      </c>
      <c r="S1" t="s">
        <v>87</v>
      </c>
    </row>
    <row r="2" spans="1:23" x14ac:dyDescent="0.25">
      <c r="A2">
        <v>1960</v>
      </c>
      <c r="B2" s="2">
        <v>5707</v>
      </c>
      <c r="C2" s="2">
        <v>30232.38</v>
      </c>
      <c r="D2" s="2"/>
      <c r="E2" s="2">
        <v>2.8545552814565043</v>
      </c>
      <c r="F2" s="2">
        <v>2.6560925735916259</v>
      </c>
      <c r="G2" s="2">
        <v>7.1876577365063552</v>
      </c>
      <c r="H2" s="2">
        <v>3.2614038325795058</v>
      </c>
      <c r="I2" s="2">
        <v>3.9262539039268494</v>
      </c>
      <c r="J2" s="2"/>
      <c r="K2" s="2">
        <v>0.19846270786487863</v>
      </c>
      <c r="L2" s="2">
        <v>8.2692794943699424E-2</v>
      </c>
      <c r="M2" s="2">
        <v>0.1157699129211792</v>
      </c>
      <c r="N2" s="2"/>
      <c r="O2" s="1">
        <v>3.22</v>
      </c>
      <c r="P2" s="2">
        <v>2427</v>
      </c>
      <c r="Q2" s="17">
        <v>2.5999999999999999E-3</v>
      </c>
      <c r="R2" s="17">
        <v>1</v>
      </c>
      <c r="S2" s="2">
        <v>11713494.35</v>
      </c>
      <c r="T2" s="1"/>
      <c r="U2" s="1"/>
      <c r="V2" s="1"/>
      <c r="W2" s="2"/>
    </row>
    <row r="3" spans="1:23" x14ac:dyDescent="0.25">
      <c r="A3">
        <v>1961</v>
      </c>
      <c r="B3" s="2">
        <v>5774.9564476206369</v>
      </c>
      <c r="C3" s="2">
        <v>31825.79</v>
      </c>
      <c r="D3" s="2">
        <v>-2.8286037302073765</v>
      </c>
      <c r="E3" s="2">
        <v>0.60328431752990264</v>
      </c>
      <c r="F3" s="2">
        <v>0.19166845504856281</v>
      </c>
      <c r="G3" s="2">
        <v>7.4530750061506721</v>
      </c>
      <c r="H3" s="2">
        <v>2.5576741378611496</v>
      </c>
      <c r="I3" s="2">
        <v>4.8954008682895225</v>
      </c>
      <c r="J3" s="2"/>
      <c r="K3" s="2">
        <v>0.41161586248133974</v>
      </c>
      <c r="L3" s="2">
        <v>0.17910003176668982</v>
      </c>
      <c r="M3" s="2">
        <v>0.23251583071464996</v>
      </c>
      <c r="N3" s="2"/>
      <c r="O3" s="1">
        <v>3.22</v>
      </c>
      <c r="P3" s="2">
        <v>2511</v>
      </c>
      <c r="Q3" s="17">
        <v>2.5999999999999999E-3</v>
      </c>
      <c r="R3" s="17">
        <v>1.0107999999999999</v>
      </c>
      <c r="S3" s="2">
        <v>12306451.369999999</v>
      </c>
      <c r="T3" s="1"/>
      <c r="U3" s="1"/>
      <c r="V3" s="1"/>
      <c r="W3" s="2"/>
    </row>
    <row r="4" spans="1:23" x14ac:dyDescent="0.25">
      <c r="A4">
        <v>1962</v>
      </c>
      <c r="B4" s="2">
        <v>6065.9560701663504</v>
      </c>
      <c r="C4" s="2">
        <v>34771.18</v>
      </c>
      <c r="D4" s="2">
        <v>1.0029216674628998</v>
      </c>
      <c r="E4" s="2">
        <v>-1.9872779698589464</v>
      </c>
      <c r="F4" s="2">
        <v>-2.2461130165844243</v>
      </c>
      <c r="G4" s="2">
        <v>6.2436765160112486</v>
      </c>
      <c r="H4" s="2">
        <v>2.1454549428578495</v>
      </c>
      <c r="I4" s="2">
        <v>4.0982215731533991</v>
      </c>
      <c r="J4" s="2"/>
      <c r="K4" s="2">
        <v>0.2588350467254778</v>
      </c>
      <c r="L4" s="2">
        <v>0.11791374350827323</v>
      </c>
      <c r="M4" s="2">
        <v>0.14092130321720459</v>
      </c>
      <c r="N4" s="2"/>
      <c r="O4" s="1">
        <v>3.22</v>
      </c>
      <c r="P4" s="2">
        <v>2301</v>
      </c>
      <c r="Q4" s="17">
        <v>2.5999999999999999E-3</v>
      </c>
      <c r="R4" s="17">
        <v>1.0221209600000001</v>
      </c>
      <c r="S4" s="2">
        <v>13419326.25</v>
      </c>
      <c r="T4" s="1"/>
      <c r="U4" s="1"/>
      <c r="V4" s="1"/>
      <c r="W4" s="2"/>
    </row>
    <row r="5" spans="1:23" x14ac:dyDescent="0.25">
      <c r="A5">
        <v>1963</v>
      </c>
      <c r="B5" s="2">
        <v>6244.5475017979488</v>
      </c>
      <c r="C5" s="2">
        <v>37905.01</v>
      </c>
      <c r="D5" s="2">
        <v>1.0894921602254897</v>
      </c>
      <c r="E5" s="2">
        <v>-1.7913199336974188</v>
      </c>
      <c r="F5" s="2">
        <v>-2.0050120023711906</v>
      </c>
      <c r="G5" s="2">
        <v>5.3159199799709853</v>
      </c>
      <c r="H5" s="2">
        <v>1.8256161916327154</v>
      </c>
      <c r="I5" s="2">
        <v>3.4903037883382697</v>
      </c>
      <c r="J5" s="2"/>
      <c r="K5" s="2">
        <v>0.21369206867377161</v>
      </c>
      <c r="L5" s="2">
        <v>9.2336079056567974E-2</v>
      </c>
      <c r="M5" s="2">
        <v>0.12135598961720363</v>
      </c>
      <c r="N5" s="2"/>
      <c r="O5" s="1">
        <v>3.22</v>
      </c>
      <c r="P5" s="2">
        <v>2594</v>
      </c>
      <c r="Q5" s="17">
        <v>2.5999999999999999E-3</v>
      </c>
      <c r="R5" s="17">
        <v>1.034488623616</v>
      </c>
      <c r="S5" s="2">
        <v>14338582.52</v>
      </c>
      <c r="T5" s="1"/>
      <c r="U5" s="1"/>
      <c r="V5" s="1"/>
      <c r="W5" s="2"/>
    </row>
    <row r="6" spans="1:23" x14ac:dyDescent="0.25">
      <c r="A6">
        <v>1964</v>
      </c>
      <c r="B6" s="2">
        <v>6610.8260773586208</v>
      </c>
      <c r="C6" s="2">
        <v>41969.2</v>
      </c>
      <c r="D6" s="2">
        <v>2.1217609406282349</v>
      </c>
      <c r="E6" s="2">
        <v>-1.6535935876785834</v>
      </c>
      <c r="F6" s="2">
        <v>-1.8823327583084739</v>
      </c>
      <c r="G6" s="2">
        <v>4.245970854817342</v>
      </c>
      <c r="H6" s="2">
        <v>2.0395909381165236</v>
      </c>
      <c r="I6" s="2">
        <v>2.2063799167008189</v>
      </c>
      <c r="J6" s="2"/>
      <c r="K6" s="2">
        <v>0.22873917062989052</v>
      </c>
      <c r="L6" s="2">
        <v>0.10722148623276118</v>
      </c>
      <c r="M6" s="2">
        <v>0.12151768439712933</v>
      </c>
      <c r="N6" s="2"/>
      <c r="O6" s="1">
        <v>4.45</v>
      </c>
      <c r="P6" s="2">
        <v>2736</v>
      </c>
      <c r="Q6" s="17">
        <v>2.7000000000000001E-3</v>
      </c>
      <c r="R6" s="17">
        <v>1.0480404245853698</v>
      </c>
      <c r="S6" s="2">
        <v>15734538.189999999</v>
      </c>
      <c r="T6" s="1"/>
      <c r="U6" s="1"/>
      <c r="V6" s="1"/>
      <c r="W6" s="2"/>
    </row>
    <row r="7" spans="1:23" x14ac:dyDescent="0.25">
      <c r="A7">
        <v>1965</v>
      </c>
      <c r="B7" s="2">
        <v>6760.2667945105559</v>
      </c>
      <c r="C7" s="2">
        <v>44663.75</v>
      </c>
      <c r="D7" s="2">
        <v>1.7675531964630409</v>
      </c>
      <c r="E7" s="2">
        <v>-0.32912596904648622</v>
      </c>
      <c r="F7" s="2">
        <v>-0.51495899918837984</v>
      </c>
      <c r="G7" s="2">
        <v>4.648064705717724</v>
      </c>
      <c r="H7" s="2">
        <v>2.4292631048669224</v>
      </c>
      <c r="I7" s="2">
        <v>2.218801600850802</v>
      </c>
      <c r="J7" s="2"/>
      <c r="K7" s="2">
        <v>0.18583303014189359</v>
      </c>
      <c r="L7" s="2">
        <v>7.6124373793064845E-2</v>
      </c>
      <c r="M7" s="2">
        <v>0.10970865634882875</v>
      </c>
      <c r="N7" s="2"/>
      <c r="O7" s="1">
        <v>4.45</v>
      </c>
      <c r="P7" s="2">
        <v>2996</v>
      </c>
      <c r="Q7" s="17">
        <v>2.7000000000000001E-3</v>
      </c>
      <c r="R7" s="17">
        <v>1.0655426996759454</v>
      </c>
      <c r="S7" s="2">
        <v>16657684.119999999</v>
      </c>
      <c r="T7" s="1"/>
      <c r="U7" s="1"/>
      <c r="V7" s="1"/>
      <c r="W7" s="2"/>
    </row>
    <row r="8" spans="1:23" x14ac:dyDescent="0.25">
      <c r="A8">
        <v>1966</v>
      </c>
      <c r="B8" s="2">
        <v>6690.3839156292306</v>
      </c>
      <c r="C8" s="2">
        <v>46537.45</v>
      </c>
      <c r="D8" s="2">
        <v>1.7371596582034385</v>
      </c>
      <c r="E8" s="2">
        <v>-0.42761260017469804</v>
      </c>
      <c r="F8" s="2">
        <v>-0.64249330378007397</v>
      </c>
      <c r="G8" s="2">
        <v>5.0131668151134194</v>
      </c>
      <c r="H8" s="2">
        <v>2.8600621649875531</v>
      </c>
      <c r="I8" s="2">
        <v>2.1531046501258664</v>
      </c>
      <c r="J8" s="2"/>
      <c r="K8" s="2">
        <v>0.21488070360537589</v>
      </c>
      <c r="L8" s="2">
        <v>0.11173796587479547</v>
      </c>
      <c r="M8" s="2">
        <v>0.10314273773058043</v>
      </c>
      <c r="N8" s="2"/>
      <c r="O8" s="1">
        <v>4.45</v>
      </c>
      <c r="P8" s="2">
        <v>2976</v>
      </c>
      <c r="Q8" s="17">
        <v>2.7000000000000001E-3</v>
      </c>
      <c r="R8" s="17">
        <v>1.0974024263962563</v>
      </c>
      <c r="S8" s="2">
        <v>17047082.280000001</v>
      </c>
      <c r="T8" s="1"/>
      <c r="U8" s="1"/>
      <c r="V8" s="1"/>
      <c r="W8" s="2"/>
    </row>
    <row r="9" spans="1:23" x14ac:dyDescent="0.25">
      <c r="A9">
        <v>1967</v>
      </c>
      <c r="B9" s="2">
        <v>6737.9334655284956</v>
      </c>
      <c r="C9" s="2">
        <v>49021.19</v>
      </c>
      <c r="D9" s="2">
        <v>-2.9802939352549629E-2</v>
      </c>
      <c r="E9" s="2">
        <v>-0.63441952347546027</v>
      </c>
      <c r="F9" s="2">
        <v>-0.88941129336109548</v>
      </c>
      <c r="G9" s="2">
        <v>5.773013670210779</v>
      </c>
      <c r="H9" s="2">
        <v>3.1557781441046209</v>
      </c>
      <c r="I9" s="2">
        <v>2.6172355261061591</v>
      </c>
      <c r="J9" s="2"/>
      <c r="K9" s="2">
        <v>0.25499176988563516</v>
      </c>
      <c r="L9" s="2">
        <v>0.13871552281778551</v>
      </c>
      <c r="M9" s="2">
        <v>0.11627624706784963</v>
      </c>
      <c r="N9" s="2"/>
      <c r="O9" s="1">
        <v>4.45</v>
      </c>
      <c r="P9" s="2">
        <v>3286</v>
      </c>
      <c r="Q9" s="17">
        <v>2.8E-3</v>
      </c>
      <c r="R9" s="17">
        <v>1.1279102138500723</v>
      </c>
      <c r="S9" s="2">
        <v>17733823.32</v>
      </c>
      <c r="T9" s="1"/>
      <c r="U9" s="1"/>
      <c r="V9" s="1"/>
      <c r="W9" s="2"/>
    </row>
    <row r="10" spans="1:23" x14ac:dyDescent="0.25">
      <c r="A10">
        <v>1968</v>
      </c>
      <c r="B10" s="2">
        <v>6862.4290531421366</v>
      </c>
      <c r="C10" s="2">
        <v>52816.87</v>
      </c>
      <c r="D10" s="2">
        <v>1.3177428534432778</v>
      </c>
      <c r="E10" s="2">
        <v>-2.6506682429307149E-2</v>
      </c>
      <c r="F10" s="2">
        <v>-0.35784021279564654</v>
      </c>
      <c r="G10" s="2">
        <v>6.677790637726166</v>
      </c>
      <c r="H10" s="2">
        <v>3.5594687833641032</v>
      </c>
      <c r="I10" s="2">
        <v>3.1183218543620628</v>
      </c>
      <c r="J10" s="2"/>
      <c r="K10" s="2">
        <v>0.33133353036633939</v>
      </c>
      <c r="L10" s="2">
        <v>0.15525342565737044</v>
      </c>
      <c r="M10" s="2">
        <v>0.17608010470896893</v>
      </c>
      <c r="N10" s="2"/>
      <c r="O10" s="1">
        <v>4.45</v>
      </c>
      <c r="P10" s="2">
        <v>3715</v>
      </c>
      <c r="Q10" s="17">
        <v>2.8E-3</v>
      </c>
      <c r="R10" s="17">
        <v>1.1755080248745453</v>
      </c>
      <c r="S10" s="2">
        <v>18656104.879999999</v>
      </c>
      <c r="T10" s="1"/>
      <c r="U10" s="1"/>
      <c r="V10" s="1"/>
      <c r="W10" s="2"/>
    </row>
    <row r="11" spans="1:23" x14ac:dyDescent="0.25">
      <c r="A11">
        <v>1969</v>
      </c>
      <c r="B11" s="2">
        <v>6921.1111686929316</v>
      </c>
      <c r="C11" s="2">
        <v>54136.27</v>
      </c>
      <c r="D11" s="2">
        <v>2.4250443590452164</v>
      </c>
      <c r="E11" s="2">
        <v>1.5257792973176765</v>
      </c>
      <c r="F11" s="2">
        <v>1.1526468299349033</v>
      </c>
      <c r="G11" s="2">
        <v>8.415799610870863</v>
      </c>
      <c r="H11" s="2">
        <v>4.351980659177296</v>
      </c>
      <c r="I11" s="2">
        <v>4.0638189516935688</v>
      </c>
      <c r="J11" s="2"/>
      <c r="K11" s="2">
        <v>0.37313246738277317</v>
      </c>
      <c r="L11" s="2">
        <v>0.16255275806774278</v>
      </c>
      <c r="M11" s="2">
        <v>0.21057970931503039</v>
      </c>
      <c r="N11" s="2"/>
      <c r="O11" s="1">
        <v>4.45</v>
      </c>
      <c r="P11" s="2">
        <v>3949</v>
      </c>
      <c r="Q11" s="17">
        <v>2.8E-3</v>
      </c>
      <c r="R11" s="17">
        <v>1.2391030090202582</v>
      </c>
      <c r="S11" s="2">
        <v>19434079.530000001</v>
      </c>
      <c r="T11" s="1"/>
      <c r="U11" s="1"/>
      <c r="V11" s="1"/>
      <c r="W11" s="2"/>
    </row>
    <row r="12" spans="1:23" x14ac:dyDescent="0.25">
      <c r="A12">
        <v>1970</v>
      </c>
      <c r="B12" s="2">
        <v>7206.9778231124092</v>
      </c>
      <c r="C12" s="2">
        <v>60852.57</v>
      </c>
      <c r="D12" s="2">
        <v>2.5131342423274674</v>
      </c>
      <c r="E12" s="2">
        <v>1.1568944417631006</v>
      </c>
      <c r="F12" s="2">
        <v>0.66718628317587902</v>
      </c>
      <c r="G12" s="2">
        <v>9.0250912985269167</v>
      </c>
      <c r="H12" s="2">
        <v>4.8182024193883679</v>
      </c>
      <c r="I12" s="2">
        <v>4.2068888791385479</v>
      </c>
      <c r="J12" s="2"/>
      <c r="K12" s="2">
        <v>0.48970815858722155</v>
      </c>
      <c r="L12" s="2">
        <v>0.28265034656712118</v>
      </c>
      <c r="M12" s="2">
        <v>0.20705781202010037</v>
      </c>
      <c r="N12" s="2"/>
      <c r="O12" s="1">
        <v>4.45</v>
      </c>
      <c r="P12" s="2">
        <v>4088</v>
      </c>
      <c r="Q12" s="17">
        <v>2.8999999999999998E-3</v>
      </c>
      <c r="R12" s="17">
        <v>1.3122100865524533</v>
      </c>
      <c r="S12" s="2">
        <v>20919792.149999999</v>
      </c>
      <c r="T12" s="1"/>
      <c r="U12" s="1"/>
      <c r="V12" s="1"/>
      <c r="W12" s="2"/>
    </row>
    <row r="13" spans="1:23" x14ac:dyDescent="0.25">
      <c r="A13">
        <v>1971</v>
      </c>
      <c r="B13" s="2">
        <v>7180.4748087024891</v>
      </c>
      <c r="C13" s="2">
        <v>66836.649999999994</v>
      </c>
      <c r="D13" s="2">
        <v>3.2396491158546326</v>
      </c>
      <c r="E13" s="2">
        <v>-0.53862663673299016</v>
      </c>
      <c r="F13" s="2">
        <v>-1.0996960499965214</v>
      </c>
      <c r="G13" s="2">
        <v>9.824051125642395</v>
      </c>
      <c r="H13" s="2">
        <v>5.6406178346760356</v>
      </c>
      <c r="I13" s="2">
        <v>4.057653996721859</v>
      </c>
      <c r="J13" s="2"/>
      <c r="K13" s="2">
        <v>0.56106941326353132</v>
      </c>
      <c r="L13" s="2">
        <v>0.27514732998540797</v>
      </c>
      <c r="M13" s="2">
        <v>0.27978661408074762</v>
      </c>
      <c r="N13" s="2"/>
      <c r="O13" s="1">
        <v>4.3499999999999996</v>
      </c>
      <c r="P13" s="2">
        <v>5134</v>
      </c>
      <c r="Q13" s="17">
        <v>3.0999999999999999E-3</v>
      </c>
      <c r="R13" s="17">
        <v>1.3681102362395878</v>
      </c>
      <c r="S13" s="2">
        <v>21562251.300000001</v>
      </c>
      <c r="T13" s="1"/>
      <c r="U13" s="1"/>
      <c r="V13" s="1"/>
      <c r="W13" s="2"/>
    </row>
    <row r="14" spans="1:23" x14ac:dyDescent="0.25">
      <c r="A14">
        <v>1972</v>
      </c>
      <c r="B14" s="2">
        <v>7162.4890368868964</v>
      </c>
      <c r="C14" s="2">
        <v>71937.62</v>
      </c>
      <c r="D14" s="2">
        <v>2.8097959004617081</v>
      </c>
      <c r="E14" s="2">
        <v>0.38783601681568003</v>
      </c>
      <c r="F14" s="2">
        <v>-0.18210221578083902</v>
      </c>
      <c r="G14" s="2">
        <v>9.4832800654393292</v>
      </c>
      <c r="H14" s="2">
        <v>5.4477754476725808</v>
      </c>
      <c r="I14" s="2">
        <v>3.9728865091728087</v>
      </c>
      <c r="J14" s="2"/>
      <c r="K14" s="2">
        <v>0.5699382325965191</v>
      </c>
      <c r="L14" s="2">
        <v>0.30097098519017396</v>
      </c>
      <c r="M14" s="2">
        <v>0.26550781079496377</v>
      </c>
      <c r="N14" s="2"/>
      <c r="O14" s="1">
        <v>4.3499999999999996</v>
      </c>
      <c r="P14" s="2">
        <v>5739</v>
      </c>
      <c r="Q14" s="17">
        <v>3.2000000000000002E-3</v>
      </c>
      <c r="R14" s="17">
        <v>1.4133946850591181</v>
      </c>
      <c r="S14" s="2">
        <v>22264618.219999999</v>
      </c>
      <c r="T14" s="1"/>
      <c r="U14" s="1"/>
      <c r="V14" s="1"/>
      <c r="W14" s="2"/>
    </row>
    <row r="15" spans="1:23" x14ac:dyDescent="0.25">
      <c r="A15">
        <v>1973</v>
      </c>
      <c r="B15" s="2">
        <v>7354.2880604456941</v>
      </c>
      <c r="C15" s="2">
        <v>85682.52</v>
      </c>
      <c r="D15" s="2">
        <v>4.1136404851562531</v>
      </c>
      <c r="E15" s="2">
        <v>-1.567414217042169</v>
      </c>
      <c r="F15" s="2">
        <v>-2.1264547307898973</v>
      </c>
      <c r="G15" s="2">
        <v>8.3509025068572171</v>
      </c>
      <c r="H15" s="2">
        <v>4.5668591446656794</v>
      </c>
      <c r="I15" s="2">
        <v>3.762727800256108</v>
      </c>
      <c r="J15" s="2"/>
      <c r="K15" s="2">
        <v>0.55904051374772823</v>
      </c>
      <c r="L15" s="2">
        <v>0.31946121075288936</v>
      </c>
      <c r="M15" s="2">
        <v>0.23808823550007632</v>
      </c>
      <c r="N15" s="2"/>
      <c r="O15" s="1">
        <v>4.2850000000000001</v>
      </c>
      <c r="P15" s="2">
        <v>7128</v>
      </c>
      <c r="Q15" s="17">
        <v>3.5999999999999999E-3</v>
      </c>
      <c r="R15" s="17">
        <v>1.5013078344697954</v>
      </c>
      <c r="S15" s="2">
        <v>23657370.510000002</v>
      </c>
      <c r="T15" s="1"/>
      <c r="U15" s="1"/>
      <c r="V15" s="1"/>
      <c r="W15" s="2"/>
    </row>
    <row r="16" spans="1:23" x14ac:dyDescent="0.25">
      <c r="A16">
        <v>1974</v>
      </c>
      <c r="B16" s="2">
        <v>7533.8714491745532</v>
      </c>
      <c r="C16" s="2">
        <v>131277.79</v>
      </c>
      <c r="D16" s="2">
        <v>8.2848997302745886</v>
      </c>
      <c r="E16" s="2">
        <v>-2.3629282607514948</v>
      </c>
      <c r="F16" s="2">
        <v>-2.731612102854565</v>
      </c>
      <c r="G16" s="2">
        <v>6.5898428058546692</v>
      </c>
      <c r="H16" s="2">
        <v>2.5076595210812127</v>
      </c>
      <c r="I16" s="2">
        <v>4.082183284773456</v>
      </c>
      <c r="J16" s="2"/>
      <c r="K16" s="2">
        <v>0.36868384210307009</v>
      </c>
      <c r="L16" s="2">
        <v>0.20643248183870247</v>
      </c>
      <c r="M16" s="2">
        <v>0.16225136026436762</v>
      </c>
      <c r="N16" s="2"/>
      <c r="O16" s="1">
        <v>4.2850000000000001</v>
      </c>
      <c r="P16" s="2">
        <v>9903</v>
      </c>
      <c r="Q16" s="17">
        <v>5.1999999999999998E-3</v>
      </c>
      <c r="R16" s="17">
        <v>1.6670522193952608</v>
      </c>
      <c r="S16" s="2">
        <v>25091851.649999999</v>
      </c>
      <c r="T16" s="1"/>
      <c r="U16" s="1"/>
      <c r="V16" s="1"/>
      <c r="W16" s="2"/>
    </row>
    <row r="17" spans="1:23" x14ac:dyDescent="0.25">
      <c r="A17">
        <v>1975</v>
      </c>
      <c r="B17" s="2">
        <v>7715.0154626546746</v>
      </c>
      <c r="C17" s="2">
        <v>138136.79</v>
      </c>
      <c r="D17" s="2">
        <v>10.28714981513501</v>
      </c>
      <c r="E17" s="2">
        <v>0.45172614768303215</v>
      </c>
      <c r="F17" s="2">
        <v>8.6146492907501315E-2</v>
      </c>
      <c r="G17" s="2">
        <v>9.267625228586823</v>
      </c>
      <c r="H17" s="2">
        <v>4.3608947334015795</v>
      </c>
      <c r="I17" s="2">
        <v>4.9067304951852435</v>
      </c>
      <c r="J17" s="2"/>
      <c r="K17" s="2">
        <v>0.36557965477553084</v>
      </c>
      <c r="L17" s="2">
        <v>0.16939730538113706</v>
      </c>
      <c r="M17" s="2">
        <v>0.19618234939439377</v>
      </c>
      <c r="N17" s="2"/>
      <c r="O17" s="1">
        <v>4.2850000000000001</v>
      </c>
      <c r="P17" s="2">
        <v>13422</v>
      </c>
      <c r="Q17" s="17">
        <v>5.1999999999999998E-3</v>
      </c>
      <c r="R17" s="17">
        <v>1.8192540870260481</v>
      </c>
      <c r="S17" s="2">
        <v>26614335.239999998</v>
      </c>
      <c r="T17" s="1"/>
      <c r="U17" s="1"/>
      <c r="V17" s="1"/>
      <c r="W17" s="2"/>
    </row>
    <row r="18" spans="1:23" x14ac:dyDescent="0.25">
      <c r="A18">
        <v>1976</v>
      </c>
      <c r="B18" s="2">
        <v>8099.2597157667806</v>
      </c>
      <c r="C18" s="2">
        <v>158028.35999999999</v>
      </c>
      <c r="D18" s="2">
        <v>7.5778211994534814</v>
      </c>
      <c r="E18" s="2">
        <v>3.1399427292670761</v>
      </c>
      <c r="F18" s="2">
        <v>2.5824478593589153</v>
      </c>
      <c r="G18" s="2">
        <v>14.167149432139389</v>
      </c>
      <c r="H18" s="2">
        <v>8.9521906067999453</v>
      </c>
      <c r="I18" s="2">
        <v>5.2212147237369297</v>
      </c>
      <c r="J18" s="2"/>
      <c r="K18" s="2">
        <v>0.55749486990816077</v>
      </c>
      <c r="L18" s="2">
        <v>0.23556540095723316</v>
      </c>
      <c r="M18" s="2">
        <v>0.32209408488451063</v>
      </c>
      <c r="N18" s="2"/>
      <c r="O18" s="1">
        <v>4.2930000000000001</v>
      </c>
      <c r="P18" s="2">
        <v>16338</v>
      </c>
      <c r="Q18" s="17">
        <v>5.4999999999999997E-3</v>
      </c>
      <c r="R18" s="17">
        <v>1.9236792716213431</v>
      </c>
      <c r="S18" s="2">
        <v>28948672.359999999</v>
      </c>
      <c r="T18" s="1"/>
      <c r="U18" s="1"/>
      <c r="V18" s="1"/>
      <c r="W18" s="2"/>
    </row>
    <row r="19" spans="1:23" x14ac:dyDescent="0.25">
      <c r="A19">
        <v>1977</v>
      </c>
      <c r="B19" s="2">
        <v>8346.5165091454819</v>
      </c>
      <c r="C19" s="2">
        <v>182126.09</v>
      </c>
      <c r="D19" s="2">
        <v>7.7588080365421064</v>
      </c>
      <c r="E19" s="2">
        <v>4.983909773717758</v>
      </c>
      <c r="F19" s="2">
        <v>4.2185059812133447</v>
      </c>
      <c r="G19" s="2">
        <v>19.074697095841678</v>
      </c>
      <c r="H19" s="2">
        <v>11.132946410917842</v>
      </c>
      <c r="I19" s="2">
        <v>7.9417506849238348</v>
      </c>
      <c r="J19" s="2"/>
      <c r="K19" s="2">
        <v>0.76540379250441282</v>
      </c>
      <c r="L19" s="2">
        <v>0.46396427881365054</v>
      </c>
      <c r="M19" s="2">
        <v>0.30143951369076227</v>
      </c>
      <c r="N19" s="2"/>
      <c r="O19" s="1">
        <v>4.2930000000000001</v>
      </c>
      <c r="P19" s="2">
        <v>20013</v>
      </c>
      <c r="Q19" s="17">
        <v>5.8999999999999999E-3</v>
      </c>
      <c r="R19" s="17">
        <v>2.0485260563495684</v>
      </c>
      <c r="S19" s="2">
        <v>30894641.890000001</v>
      </c>
      <c r="T19" s="1"/>
      <c r="U19" s="1"/>
      <c r="V19" s="1"/>
      <c r="W19" s="2"/>
    </row>
    <row r="20" spans="1:23" x14ac:dyDescent="0.25">
      <c r="A20">
        <v>1978</v>
      </c>
      <c r="B20" s="2">
        <v>8235.8078096056415</v>
      </c>
      <c r="C20" s="2">
        <v>197745.99</v>
      </c>
      <c r="D20" s="2">
        <v>7.1796238116912292</v>
      </c>
      <c r="E20" s="2">
        <v>4.8071771265753611</v>
      </c>
      <c r="F20" s="2">
        <v>3.5277580091510328</v>
      </c>
      <c r="G20" s="2">
        <v>24.829833464638149</v>
      </c>
      <c r="H20" s="2">
        <v>15.771748392976264</v>
      </c>
      <c r="I20" s="2">
        <v>9.0580850716618837</v>
      </c>
      <c r="J20" s="2"/>
      <c r="K20" s="2">
        <v>1.2794191174243281</v>
      </c>
      <c r="L20" s="2">
        <v>0.82125559157988492</v>
      </c>
      <c r="M20" s="2">
        <v>0.4581635258444432</v>
      </c>
      <c r="N20" s="2"/>
      <c r="O20" s="1">
        <v>4.2930000000000001</v>
      </c>
      <c r="P20" s="2">
        <v>22373</v>
      </c>
      <c r="Q20" s="17">
        <v>6.3E-3</v>
      </c>
      <c r="R20" s="17">
        <v>2.2052382996603104</v>
      </c>
      <c r="S20" s="2">
        <v>31555279.949999999</v>
      </c>
      <c r="T20" s="1"/>
      <c r="U20" s="1"/>
      <c r="V20" s="1"/>
      <c r="W20" s="2"/>
    </row>
    <row r="21" spans="1:23" x14ac:dyDescent="0.25">
      <c r="A21">
        <v>1979</v>
      </c>
      <c r="B21" s="2">
        <v>8071.9771433700771</v>
      </c>
      <c r="C21" s="2">
        <v>242985.68</v>
      </c>
      <c r="D21" s="2">
        <v>12.334664875931765</v>
      </c>
      <c r="E21" s="2">
        <v>-1.3190077703344494</v>
      </c>
      <c r="F21" s="2">
        <v>-2.6339000718067007</v>
      </c>
      <c r="G21" s="2">
        <v>22.442927500912813</v>
      </c>
      <c r="H21" s="2">
        <v>14.538581039014316</v>
      </c>
      <c r="I21" s="2">
        <v>7.9043464618984958</v>
      </c>
      <c r="J21" s="2"/>
      <c r="K21" s="2">
        <v>1.3148923014722516</v>
      </c>
      <c r="L21" s="2">
        <v>0.96013888555078641</v>
      </c>
      <c r="M21" s="2">
        <v>0.35475341592146503</v>
      </c>
      <c r="N21" s="2"/>
      <c r="O21" s="1">
        <v>4.2930000000000001</v>
      </c>
      <c r="P21" s="2">
        <v>25288</v>
      </c>
      <c r="Q21" s="17">
        <v>7.6E-3</v>
      </c>
      <c r="R21" s="17">
        <v>2.4537686560320275</v>
      </c>
      <c r="S21" s="2">
        <v>31976700.100000001</v>
      </c>
      <c r="T21" s="1"/>
      <c r="U21" s="1"/>
      <c r="V21" s="1"/>
      <c r="W21" s="2"/>
    </row>
    <row r="22" spans="1:23" x14ac:dyDescent="0.25">
      <c r="A22">
        <v>1980</v>
      </c>
      <c r="B22" s="2">
        <v>7665.2169199528898</v>
      </c>
      <c r="C22" s="2">
        <v>297333.65999999997</v>
      </c>
      <c r="D22" s="2">
        <v>21.59359488574367</v>
      </c>
      <c r="E22" s="2">
        <v>0.12443932516755757</v>
      </c>
      <c r="F22" s="2">
        <v>-1.5828917587063642</v>
      </c>
      <c r="G22" s="2">
        <v>20.432664771287584</v>
      </c>
      <c r="H22" s="2">
        <v>13.962976811976148</v>
      </c>
      <c r="I22" s="2">
        <v>6.469687959311436</v>
      </c>
      <c r="J22" s="2"/>
      <c r="K22" s="2">
        <v>1.7073310838739215</v>
      </c>
      <c r="L22" s="2">
        <v>1.2663012993550748</v>
      </c>
      <c r="M22" s="2">
        <v>0.44102978451884667</v>
      </c>
      <c r="N22" s="2"/>
      <c r="O22" s="1">
        <v>4.2930000000000001</v>
      </c>
      <c r="P22" s="2">
        <v>27214</v>
      </c>
      <c r="Q22" s="17">
        <v>9.4999999999999998E-3</v>
      </c>
      <c r="R22" s="17">
        <v>2.7852728014619546</v>
      </c>
      <c r="S22" s="2">
        <v>31340851.460000001</v>
      </c>
      <c r="T22" s="1"/>
      <c r="U22" s="1"/>
      <c r="V22" s="1"/>
      <c r="W22" s="2"/>
    </row>
    <row r="23" spans="1:23" x14ac:dyDescent="0.25">
      <c r="A23">
        <v>1981</v>
      </c>
      <c r="B23" s="2">
        <v>7420.9235202660648</v>
      </c>
      <c r="C23" s="2">
        <v>333601.90000000002</v>
      </c>
      <c r="D23" s="2">
        <v>15.997932375013619</v>
      </c>
      <c r="E23" s="2">
        <v>-1.806944145102291</v>
      </c>
      <c r="F23" s="2">
        <v>-3.7005005067417187</v>
      </c>
      <c r="G23" s="2">
        <v>20.000788364814468</v>
      </c>
      <c r="H23" s="2">
        <v>12.2639409427824</v>
      </c>
      <c r="I23" s="2">
        <v>7.736847422032068</v>
      </c>
      <c r="J23" s="2"/>
      <c r="K23" s="2">
        <v>1.8935563616394269</v>
      </c>
      <c r="L23" s="2">
        <v>1.6226466336073024</v>
      </c>
      <c r="M23" s="2">
        <v>0.27090972803212449</v>
      </c>
      <c r="N23" s="2"/>
      <c r="O23" s="1">
        <v>4.2930000000000001</v>
      </c>
      <c r="P23" s="2">
        <v>31623</v>
      </c>
      <c r="Q23" s="17">
        <v>1.0699999999999999E-2</v>
      </c>
      <c r="R23" s="17">
        <v>3.072712954572828</v>
      </c>
      <c r="S23" s="2">
        <v>31246238.5</v>
      </c>
      <c r="T23" s="1"/>
      <c r="U23" s="1"/>
      <c r="V23" s="1"/>
      <c r="W23" s="2"/>
    </row>
    <row r="24" spans="1:23" x14ac:dyDescent="0.25">
      <c r="A24">
        <v>1982</v>
      </c>
      <c r="B24" s="2">
        <v>7265.9592415870748</v>
      </c>
      <c r="C24" s="2">
        <v>340690.16</v>
      </c>
      <c r="D24" s="2">
        <v>9.6719541439636032</v>
      </c>
      <c r="E24" s="2">
        <v>3.9971803118704692</v>
      </c>
      <c r="F24" s="2">
        <v>1.764124916316925</v>
      </c>
      <c r="G24" s="2">
        <v>24.424553383050455</v>
      </c>
      <c r="H24" s="2">
        <v>15.470135679879926</v>
      </c>
      <c r="I24" s="2">
        <v>8.9544177031705292</v>
      </c>
      <c r="J24" s="2"/>
      <c r="K24" s="2">
        <v>2.233055395553543</v>
      </c>
      <c r="L24" s="2">
        <v>1.6642570481049406</v>
      </c>
      <c r="M24" s="2">
        <v>0.56879834744860258</v>
      </c>
      <c r="N24" s="2"/>
      <c r="O24" s="1">
        <v>4.2930000000000001</v>
      </c>
      <c r="P24" s="2">
        <v>28372</v>
      </c>
      <c r="Q24" s="17">
        <v>1.0800000000000001E-2</v>
      </c>
      <c r="R24" s="17">
        <v>3.2619920725745146</v>
      </c>
      <c r="S24" s="2">
        <v>31459427.52</v>
      </c>
      <c r="T24" s="1"/>
      <c r="U24" s="1"/>
      <c r="V24" s="1"/>
      <c r="W24" s="2"/>
    </row>
    <row r="25" spans="1:23" x14ac:dyDescent="0.25">
      <c r="A25">
        <v>1983</v>
      </c>
      <c r="B25" s="2">
        <v>6674.1764828087844</v>
      </c>
      <c r="C25" s="2">
        <v>339782.49</v>
      </c>
      <c r="D25" s="2">
        <v>6.3268365519207777</v>
      </c>
      <c r="E25" s="2">
        <v>1.8726686004331772</v>
      </c>
      <c r="F25" s="2">
        <v>-0.14666441463772795</v>
      </c>
      <c r="G25" s="2">
        <v>29.158087328161024</v>
      </c>
      <c r="H25" s="2">
        <v>18.952714131914217</v>
      </c>
      <c r="I25" s="2">
        <v>10.218596020059774</v>
      </c>
      <c r="J25" s="2"/>
      <c r="K25" s="2">
        <v>2.0193330150709063</v>
      </c>
      <c r="L25" s="2">
        <v>1.2977850911494688</v>
      </c>
      <c r="M25" s="2">
        <v>0.7224533553803788</v>
      </c>
      <c r="N25" s="2"/>
      <c r="O25" s="1">
        <v>4.3</v>
      </c>
      <c r="P25" s="2">
        <v>39591</v>
      </c>
      <c r="Q25" s="17">
        <v>1.14E-2</v>
      </c>
      <c r="R25" s="17">
        <v>3.3667020181041565</v>
      </c>
      <c r="S25" s="2">
        <v>29692354.98</v>
      </c>
      <c r="T25" s="1"/>
      <c r="U25" s="1"/>
      <c r="V25" s="1"/>
      <c r="W25" s="2"/>
    </row>
    <row r="26" spans="1:23" x14ac:dyDescent="0.25">
      <c r="A26">
        <v>1984</v>
      </c>
      <c r="B26" s="2">
        <v>6412.0977151102925</v>
      </c>
      <c r="C26" s="2">
        <v>406498.66</v>
      </c>
      <c r="D26" s="2">
        <v>11.58530375497412</v>
      </c>
      <c r="E26" s="2">
        <v>-0.43075172744726886</v>
      </c>
      <c r="F26" s="2">
        <v>-4.0900503829459121</v>
      </c>
      <c r="G26" s="2">
        <v>43.180134532300805</v>
      </c>
      <c r="H26" s="2">
        <v>34.992329372008257</v>
      </c>
      <c r="I26" s="2">
        <v>10.441311171849867</v>
      </c>
      <c r="J26" s="2"/>
      <c r="K26" s="2">
        <v>3.6592986554986435</v>
      </c>
      <c r="L26" s="2">
        <v>3.0513766133671831</v>
      </c>
      <c r="M26" s="2">
        <v>0.80443069603230677</v>
      </c>
      <c r="N26" s="2"/>
      <c r="O26" s="1">
        <v>7.5</v>
      </c>
      <c r="P26" s="2">
        <v>38128</v>
      </c>
      <c r="Q26" s="17">
        <v>1.3899999999999999E-2</v>
      </c>
      <c r="R26" s="17">
        <v>3.5121435452862557</v>
      </c>
      <c r="S26" s="2">
        <v>29290353.210000001</v>
      </c>
      <c r="T26" s="1"/>
      <c r="U26" s="1"/>
      <c r="V26" s="1"/>
      <c r="W26" s="2"/>
    </row>
    <row r="27" spans="1:23" x14ac:dyDescent="0.25">
      <c r="A27">
        <v>1985</v>
      </c>
      <c r="B27" s="2">
        <v>6257.5742097172988</v>
      </c>
      <c r="C27" s="2">
        <v>449724.32</v>
      </c>
      <c r="D27" s="2">
        <v>11.382478022378294</v>
      </c>
      <c r="E27" s="2">
        <v>-0.71621654795097578</v>
      </c>
      <c r="F27" s="2">
        <v>-3.9271169502240832</v>
      </c>
      <c r="G27" s="2">
        <v>42.805957213966103</v>
      </c>
      <c r="H27" s="2">
        <v>29.877270146297626</v>
      </c>
      <c r="I27" s="2">
        <v>12.928687067668477</v>
      </c>
      <c r="J27" s="2"/>
      <c r="K27" s="2">
        <v>3.2109004022731087</v>
      </c>
      <c r="L27" s="2">
        <v>2.4326947673187882</v>
      </c>
      <c r="M27" s="2">
        <v>0.77820563495432049</v>
      </c>
      <c r="N27" s="2"/>
      <c r="O27" s="1">
        <v>7.5</v>
      </c>
      <c r="P27" s="2">
        <v>46300</v>
      </c>
      <c r="Q27" s="17">
        <v>1.5299999999999999E-2</v>
      </c>
      <c r="R27" s="17">
        <v>3.6371758554984468</v>
      </c>
      <c r="S27" s="2">
        <v>29346971.52</v>
      </c>
      <c r="T27" s="1"/>
      <c r="U27" s="1"/>
      <c r="V27" s="1"/>
      <c r="W27" s="2"/>
    </row>
    <row r="28" spans="1:23" x14ac:dyDescent="0.25">
      <c r="A28">
        <v>1986</v>
      </c>
      <c r="B28" s="2">
        <v>6488.8799476862232</v>
      </c>
      <c r="C28" s="2">
        <v>473365.9</v>
      </c>
      <c r="D28" s="2">
        <v>11.543103331624337</v>
      </c>
      <c r="E28" s="2">
        <v>5.5156064262339131</v>
      </c>
      <c r="F28" s="2">
        <v>-1.0558321731666769</v>
      </c>
      <c r="G28" s="2">
        <v>59.044715741036683</v>
      </c>
      <c r="H28" s="2">
        <v>78.362891158826599</v>
      </c>
      <c r="I28" s="2">
        <v>15.361457172981828</v>
      </c>
      <c r="J28" s="2"/>
      <c r="K28" s="2">
        <v>6.5714385994005902</v>
      </c>
      <c r="L28" s="2">
        <v>9.6284856225319597</v>
      </c>
      <c r="M28" s="2">
        <v>1.2040558899574303</v>
      </c>
      <c r="N28" s="2"/>
      <c r="O28" s="1">
        <v>14.5</v>
      </c>
      <c r="P28" s="2">
        <v>50737</v>
      </c>
      <c r="Q28" s="17">
        <v>1.5100000000000001E-2</v>
      </c>
      <c r="R28" s="17">
        <v>3.7048273264107179</v>
      </c>
      <c r="S28" s="2">
        <v>31257560.579999998</v>
      </c>
      <c r="T28" s="1"/>
      <c r="U28" s="1"/>
      <c r="V28" s="1"/>
      <c r="W28" s="2"/>
    </row>
    <row r="29" spans="1:23" x14ac:dyDescent="0.25">
      <c r="A29">
        <v>1987</v>
      </c>
      <c r="B29" s="2">
        <v>6541.1230799183313</v>
      </c>
      <c r="C29" s="2">
        <v>673918.29</v>
      </c>
      <c r="D29" s="2">
        <v>28.135751954698691</v>
      </c>
      <c r="E29" s="2">
        <v>5.2334237730808582</v>
      </c>
      <c r="F29" s="2">
        <v>-0.43874307093915865</v>
      </c>
      <c r="G29" s="2">
        <v>67.000842194088548</v>
      </c>
      <c r="H29" s="2">
        <v>55.215723556041191</v>
      </c>
      <c r="I29" s="2">
        <v>11.785118638047352</v>
      </c>
      <c r="J29" s="2"/>
      <c r="K29" s="2">
        <v>5.6721668440200164</v>
      </c>
      <c r="L29" s="2">
        <v>4.6165997069417219</v>
      </c>
      <c r="M29" s="2">
        <v>1.0555671370782946</v>
      </c>
      <c r="N29" s="2"/>
      <c r="O29" s="1">
        <v>14.5</v>
      </c>
      <c r="P29" s="2">
        <v>60952</v>
      </c>
      <c r="Q29" s="17">
        <v>2.0799999999999999E-2</v>
      </c>
      <c r="R29" s="17">
        <v>3.8433878684184792</v>
      </c>
      <c r="S29" s="2">
        <v>32377097.02</v>
      </c>
      <c r="T29" s="1"/>
      <c r="U29" s="1"/>
      <c r="V29" s="1"/>
      <c r="W29" s="2"/>
    </row>
    <row r="30" spans="1:23" x14ac:dyDescent="0.25">
      <c r="A30">
        <v>1988</v>
      </c>
      <c r="B30" s="2">
        <v>6741.2062198286176</v>
      </c>
      <c r="C30" s="2">
        <v>845065.53</v>
      </c>
      <c r="D30" s="2">
        <v>29.468752251818671</v>
      </c>
      <c r="E30" s="2">
        <v>6.9309417933541795</v>
      </c>
      <c r="F30" s="2">
        <v>1.1991232585241052</v>
      </c>
      <c r="G30" s="2">
        <v>55.209604277670621</v>
      </c>
      <c r="H30" s="2">
        <v>44.439396906888391</v>
      </c>
      <c r="I30" s="2">
        <v>10.77020737078224</v>
      </c>
      <c r="J30" s="2"/>
      <c r="K30" s="2">
        <v>5.7318185348300741</v>
      </c>
      <c r="L30" s="2">
        <v>4.8646159641607909</v>
      </c>
      <c r="M30" s="2">
        <v>0.86720257066928275</v>
      </c>
      <c r="N30" s="2"/>
      <c r="O30" s="1">
        <v>14.5</v>
      </c>
      <c r="P30" s="2">
        <v>73870</v>
      </c>
      <c r="Q30" s="17">
        <v>2.47E-2</v>
      </c>
      <c r="R30" s="17">
        <v>3.9975077219420605</v>
      </c>
      <c r="S30" s="2">
        <v>34261887.100000001</v>
      </c>
      <c r="T30" s="1"/>
      <c r="U30" s="1"/>
      <c r="V30" s="1"/>
      <c r="W30" s="2"/>
    </row>
    <row r="31" spans="1:23" x14ac:dyDescent="0.25">
      <c r="A31">
        <v>1989</v>
      </c>
      <c r="B31" s="2">
        <v>6006.6853589517414</v>
      </c>
      <c r="C31" s="2">
        <v>1461558.31</v>
      </c>
      <c r="D31" s="2">
        <v>84.463254916793034</v>
      </c>
      <c r="E31" s="2">
        <v>0.22756533059567086</v>
      </c>
      <c r="F31" s="2">
        <v>-3.5418248065199216</v>
      </c>
      <c r="G31" s="2">
        <v>71.355173055668217</v>
      </c>
      <c r="H31" s="2">
        <v>77.893461452112717</v>
      </c>
      <c r="I31" s="2">
        <v>8.6480436076477858</v>
      </c>
      <c r="J31" s="2"/>
      <c r="K31" s="2">
        <v>3.7693901371155922</v>
      </c>
      <c r="L31" s="2">
        <v>3.7633228406970587</v>
      </c>
      <c r="M31" s="2">
        <v>0.73977547977541858</v>
      </c>
      <c r="N31" s="2"/>
      <c r="O31" s="1">
        <v>43.08</v>
      </c>
      <c r="P31" s="2">
        <v>87840</v>
      </c>
      <c r="Q31" s="17">
        <v>4.6699999999999998E-2</v>
      </c>
      <c r="R31" s="17">
        <v>4.1905873449118625</v>
      </c>
      <c r="S31" s="2">
        <v>31325683.84</v>
      </c>
      <c r="T31" s="1"/>
      <c r="U31" s="1"/>
      <c r="V31" s="1"/>
      <c r="W31" s="2"/>
    </row>
    <row r="32" spans="1:23" x14ac:dyDescent="0.25">
      <c r="A32">
        <v>1990</v>
      </c>
      <c r="B32" s="2">
        <v>6239.6879667865614</v>
      </c>
      <c r="C32" s="2">
        <v>2205613.66</v>
      </c>
      <c r="D32" s="2">
        <v>40.655756623537883</v>
      </c>
      <c r="E32" s="2">
        <v>2.4390944332472078</v>
      </c>
      <c r="F32" s="2">
        <v>-0.3704238017142143</v>
      </c>
      <c r="G32" s="2">
        <v>61.649149833430023</v>
      </c>
      <c r="H32" s="2">
        <v>58.612548672735358</v>
      </c>
      <c r="I32" s="2">
        <v>7.0635951719667887</v>
      </c>
      <c r="J32" s="2"/>
      <c r="K32" s="2">
        <v>2.8095182349614212</v>
      </c>
      <c r="L32" s="2">
        <v>2.596089001446936</v>
      </c>
      <c r="M32" s="2">
        <v>0.39179436347886953</v>
      </c>
      <c r="N32" s="2"/>
      <c r="O32" s="1">
        <v>50.36</v>
      </c>
      <c r="P32" s="2">
        <v>168288</v>
      </c>
      <c r="Q32" s="17">
        <v>6.6100000000000006E-2</v>
      </c>
      <c r="R32" s="17">
        <v>4.4168790615371032</v>
      </c>
      <c r="S32" s="2">
        <v>33351810.510000002</v>
      </c>
      <c r="T32" s="1"/>
      <c r="U32" s="1"/>
      <c r="V32" s="1"/>
      <c r="W32" s="2"/>
    </row>
    <row r="33" spans="1:23" x14ac:dyDescent="0.25">
      <c r="A33">
        <v>1991</v>
      </c>
      <c r="B33" s="2">
        <v>6684.267240398729</v>
      </c>
      <c r="C33" s="2">
        <v>2939344.74</v>
      </c>
      <c r="D33" s="2">
        <v>34.205399213383885</v>
      </c>
      <c r="E33" s="2">
        <v>0.99069699459614924</v>
      </c>
      <c r="F33" s="2">
        <v>-1.6608394961524646</v>
      </c>
      <c r="G33" s="2">
        <v>60.834512293375965</v>
      </c>
      <c r="H33" s="2">
        <v>55.52968760649695</v>
      </c>
      <c r="I33" s="2">
        <v>9.5791149016430115</v>
      </c>
      <c r="J33" s="2"/>
      <c r="K33" s="2">
        <v>2.6515364907486152</v>
      </c>
      <c r="L33" s="2">
        <v>2.3780749804824177</v>
      </c>
      <c r="M33" s="2">
        <v>0.45650922865209742</v>
      </c>
      <c r="N33" s="2"/>
      <c r="O33" s="1">
        <v>61.554000000000002</v>
      </c>
      <c r="P33" s="2">
        <v>330444</v>
      </c>
      <c r="Q33" s="17">
        <v>8.0299999999999996E-2</v>
      </c>
      <c r="R33" s="17">
        <v>4.6037130458401228</v>
      </c>
      <c r="S33" s="2">
        <v>36596904.299999997</v>
      </c>
      <c r="T33" s="1"/>
      <c r="U33" s="1"/>
      <c r="V33" s="1"/>
      <c r="W33" s="2"/>
    </row>
    <row r="34" spans="1:23" x14ac:dyDescent="0.25">
      <c r="A34">
        <v>1992</v>
      </c>
      <c r="B34" s="2">
        <v>6928.3214029049577</v>
      </c>
      <c r="C34" s="2">
        <v>3997986.77</v>
      </c>
      <c r="D34" s="2">
        <v>31.422650241659284</v>
      </c>
      <c r="E34" s="2">
        <v>3.9815789585516814</v>
      </c>
      <c r="F34" s="2">
        <v>-1.150737174650468E-2</v>
      </c>
      <c r="G34" s="2">
        <v>49.691893312593436</v>
      </c>
      <c r="H34" s="2">
        <v>53.820498385491163</v>
      </c>
      <c r="I34" s="2">
        <v>3.3730714421548718</v>
      </c>
      <c r="J34" s="2"/>
      <c r="K34" s="2">
        <v>3.993086330298186</v>
      </c>
      <c r="L34" s="2">
        <v>3.3280742380599522</v>
      </c>
      <c r="M34" s="2">
        <v>1.1288899287678233</v>
      </c>
      <c r="N34" s="2"/>
      <c r="O34" s="1">
        <v>79.45</v>
      </c>
      <c r="P34" s="2">
        <v>382426</v>
      </c>
      <c r="Q34" s="17">
        <v>0.10299999999999999</v>
      </c>
      <c r="R34" s="17">
        <v>4.743205551129078</v>
      </c>
      <c r="S34" s="2">
        <v>38814849.909999996</v>
      </c>
      <c r="T34" s="1"/>
      <c r="U34" s="1"/>
      <c r="V34" s="1"/>
      <c r="W34" s="2"/>
    </row>
    <row r="35" spans="1:23" x14ac:dyDescent="0.25">
      <c r="A35">
        <v>1993</v>
      </c>
      <c r="B35" s="2">
        <v>6793.0874412761259</v>
      </c>
      <c r="C35" s="2">
        <v>5277676.82</v>
      </c>
      <c r="D35" s="2">
        <v>38.121600863886528</v>
      </c>
      <c r="E35" s="2">
        <v>3.0188661684669049</v>
      </c>
      <c r="F35" s="2">
        <v>-0.11080138078633034</v>
      </c>
      <c r="G35" s="2">
        <v>56.070303581036619</v>
      </c>
      <c r="H35" s="2">
        <v>53.65891843297824</v>
      </c>
      <c r="I35" s="2">
        <v>9.9360274962800759</v>
      </c>
      <c r="J35" s="2"/>
      <c r="K35" s="2">
        <v>3.129667549253234</v>
      </c>
      <c r="L35" s="2">
        <v>3.0308117087491393</v>
      </c>
      <c r="M35" s="2">
        <v>0.52386951575409269</v>
      </c>
      <c r="N35" s="2"/>
      <c r="O35" s="1">
        <v>105.64</v>
      </c>
      <c r="P35" s="2">
        <v>422691</v>
      </c>
      <c r="Q35" s="17">
        <v>0.1356</v>
      </c>
      <c r="R35" s="17">
        <v>4.8831301148873862</v>
      </c>
      <c r="S35" s="2">
        <v>38921741.369999997</v>
      </c>
      <c r="T35" s="1"/>
      <c r="U35" s="1"/>
      <c r="V35" s="1"/>
      <c r="W35" s="2"/>
    </row>
    <row r="36" spans="1:23" x14ac:dyDescent="0.25">
      <c r="A36">
        <v>1994</v>
      </c>
      <c r="B36" s="2">
        <v>6489.3438270958068</v>
      </c>
      <c r="C36" s="2">
        <v>8394860.3699999992</v>
      </c>
      <c r="D36" s="2">
        <v>60.817177400399515</v>
      </c>
      <c r="E36" s="2">
        <v>7.555944614240202</v>
      </c>
      <c r="F36" s="2">
        <v>2.9411564734379665</v>
      </c>
      <c r="G36" s="2">
        <v>61.730880155187137</v>
      </c>
      <c r="H36" s="2">
        <v>54.638645526393674</v>
      </c>
      <c r="I36" s="2">
        <v>14.00145205750456</v>
      </c>
      <c r="J36" s="2"/>
      <c r="K36" s="2">
        <v>4.6147881408022364</v>
      </c>
      <c r="L36" s="2">
        <v>3.4832976454515472</v>
      </c>
      <c r="M36" s="2">
        <v>1.5719637276111122</v>
      </c>
      <c r="N36" s="2"/>
      <c r="O36" s="1">
        <v>170</v>
      </c>
      <c r="P36" s="2">
        <v>698834</v>
      </c>
      <c r="Q36" s="17">
        <v>0.22090000000000001</v>
      </c>
      <c r="R36" s="17">
        <v>5.0105798108859467</v>
      </c>
      <c r="S36" s="2">
        <v>38007271.990000002</v>
      </c>
      <c r="T36" s="1"/>
      <c r="U36" s="1"/>
      <c r="V36" s="1"/>
      <c r="W36" s="2"/>
    </row>
    <row r="37" spans="1:23" x14ac:dyDescent="0.25">
      <c r="A37">
        <v>1995</v>
      </c>
      <c r="B37" s="2">
        <v>6605.3073299415128</v>
      </c>
      <c r="C37" s="2">
        <v>13243474.949999999</v>
      </c>
      <c r="D37" s="2">
        <v>59.922917389061297</v>
      </c>
      <c r="E37" s="2">
        <v>4.4089787778848786</v>
      </c>
      <c r="F37" s="2">
        <v>-3.1671606436420983</v>
      </c>
      <c r="G37" s="2">
        <v>46.033602905859695</v>
      </c>
      <c r="H37" s="2">
        <v>57.174439703984191</v>
      </c>
      <c r="I37" s="2">
        <v>11.168432421129776</v>
      </c>
      <c r="J37" s="2"/>
      <c r="K37" s="2">
        <v>7.5761394215269764</v>
      </c>
      <c r="L37" s="2">
        <v>4.3165815074193015</v>
      </c>
      <c r="M37" s="2">
        <v>4.9438731335388679</v>
      </c>
      <c r="N37" s="2"/>
      <c r="O37" s="1">
        <v>290</v>
      </c>
      <c r="P37" s="2">
        <v>872536</v>
      </c>
      <c r="Q37" s="17">
        <v>0.3352</v>
      </c>
      <c r="R37" s="17">
        <v>5.1513771035718419</v>
      </c>
      <c r="S37" s="2">
        <v>39509191.200000003</v>
      </c>
      <c r="T37" s="1"/>
      <c r="U37" s="1"/>
      <c r="V37" s="1"/>
      <c r="W37" s="2"/>
    </row>
    <row r="38" spans="1:23" x14ac:dyDescent="0.25">
      <c r="A38">
        <v>1996</v>
      </c>
      <c r="B38" s="2">
        <v>6454.9012401792697</v>
      </c>
      <c r="C38" s="2">
        <v>28486493.41</v>
      </c>
      <c r="D38" s="2">
        <v>99.875654236005573</v>
      </c>
      <c r="E38" s="2">
        <v>-0.64191122918557919</v>
      </c>
      <c r="F38" s="2">
        <v>-4.6781686681960135</v>
      </c>
      <c r="G38" s="2">
        <v>44.992209783534747</v>
      </c>
      <c r="H38" s="2">
        <v>42.445334797702643</v>
      </c>
      <c r="I38" s="2">
        <v>7.817311762276324</v>
      </c>
      <c r="J38" s="2"/>
      <c r="K38" s="2">
        <v>3.9205991179745618</v>
      </c>
      <c r="L38" s="2">
        <v>2.9406654696925112</v>
      </c>
      <c r="M38" s="2">
        <v>1.3450760487968392</v>
      </c>
      <c r="N38" s="2"/>
      <c r="O38" s="1">
        <v>476.5</v>
      </c>
      <c r="P38" s="2">
        <v>1675799</v>
      </c>
      <c r="Q38" s="17">
        <v>0.72240000000000004</v>
      </c>
      <c r="R38" s="17">
        <v>5.3023124527064978</v>
      </c>
      <c r="S38" s="2">
        <v>39431027.259999998</v>
      </c>
      <c r="T38" s="1"/>
      <c r="U38" s="1"/>
      <c r="V38" s="1"/>
      <c r="W38" s="2"/>
    </row>
    <row r="39" spans="1:23" x14ac:dyDescent="0.25">
      <c r="A39">
        <v>1997</v>
      </c>
      <c r="B39" s="2">
        <v>6728.9351129767792</v>
      </c>
      <c r="C39" s="2">
        <v>41943151</v>
      </c>
      <c r="D39" s="2">
        <v>50.040191949096823</v>
      </c>
      <c r="E39" s="2">
        <v>-1.952011187714533</v>
      </c>
      <c r="F39" s="2">
        <v>-4.3887342516413872</v>
      </c>
      <c r="G39" s="2">
        <v>32.929644448982863</v>
      </c>
      <c r="H39" s="2">
        <v>28.657377815987168</v>
      </c>
      <c r="I39" s="2">
        <v>5.1596934145457976</v>
      </c>
      <c r="J39" s="2"/>
      <c r="K39" s="2">
        <v>3.3725308433662189</v>
      </c>
      <c r="L39" s="2">
        <v>1.8500074612525346</v>
      </c>
      <c r="M39" s="2">
        <v>1.5798121605122133</v>
      </c>
      <c r="N39" s="2"/>
      <c r="O39" s="1">
        <v>504.25</v>
      </c>
      <c r="P39" s="2">
        <v>3004685</v>
      </c>
      <c r="Q39" s="17">
        <v>1</v>
      </c>
      <c r="R39" s="17">
        <v>5.4263865640998299</v>
      </c>
      <c r="S39" s="2">
        <v>41943151</v>
      </c>
      <c r="T39" s="1"/>
      <c r="U39" s="1"/>
      <c r="V39" s="1"/>
      <c r="W39" s="2"/>
    </row>
    <row r="40" spans="1:23" x14ac:dyDescent="0.25">
      <c r="A40">
        <v>1998</v>
      </c>
      <c r="B40" s="2">
        <v>6616.5067290520428</v>
      </c>
      <c r="C40" s="2">
        <v>50012967</v>
      </c>
      <c r="D40" s="2">
        <v>35.78201339846089</v>
      </c>
      <c r="E40" s="2">
        <v>4.1694605896659578</v>
      </c>
      <c r="F40" s="2">
        <v>1.5738898334127869</v>
      </c>
      <c r="G40" s="2">
        <v>30.198152411153693</v>
      </c>
      <c r="H40" s="2">
        <v>26.333869574264611</v>
      </c>
      <c r="I40" s="2">
        <v>4.6340062168277276</v>
      </c>
      <c r="J40" s="2"/>
      <c r="K40" s="2">
        <v>2.512843910633316</v>
      </c>
      <c r="L40" s="2">
        <v>1.9023697916864988</v>
      </c>
      <c r="M40" s="2">
        <v>0.66607925900496967</v>
      </c>
      <c r="N40" s="2"/>
      <c r="O40" s="1">
        <v>564.5</v>
      </c>
      <c r="P40" s="2">
        <v>3717323</v>
      </c>
      <c r="Q40" s="17">
        <v>1.1889000000000001</v>
      </c>
      <c r="R40" s="17">
        <v>5.5104955558433772</v>
      </c>
      <c r="S40" s="2">
        <v>42066487</v>
      </c>
      <c r="T40" s="1"/>
      <c r="U40" s="1"/>
      <c r="V40" s="1"/>
      <c r="W40" s="2"/>
    </row>
    <row r="41" spans="1:23" x14ac:dyDescent="0.25">
      <c r="A41">
        <v>1999</v>
      </c>
      <c r="B41" s="2">
        <v>6099.3794670417346</v>
      </c>
      <c r="C41" s="2">
        <v>59344600</v>
      </c>
      <c r="D41" s="2">
        <v>23.569890144384303</v>
      </c>
      <c r="E41" s="2">
        <v>2.3183497123385104</v>
      </c>
      <c r="F41" s="2">
        <v>-0.50352509816227853</v>
      </c>
      <c r="G41" s="2">
        <v>29.178781220195269</v>
      </c>
      <c r="H41" s="2">
        <v>24.809424951891156</v>
      </c>
      <c r="I41" s="2">
        <v>5.9863222601550943</v>
      </c>
      <c r="J41" s="2"/>
      <c r="K41" s="2">
        <v>2.6142561055133076</v>
      </c>
      <c r="L41" s="2">
        <v>1.870205310315215</v>
      </c>
      <c r="M41" s="2">
        <v>0.86594230983105458</v>
      </c>
      <c r="N41" s="2"/>
      <c r="O41" s="1">
        <v>648.25</v>
      </c>
      <c r="P41" s="2">
        <v>4909970</v>
      </c>
      <c r="Q41" s="17">
        <v>1.5003</v>
      </c>
      <c r="R41" s="17">
        <v>5.6311754085163477</v>
      </c>
      <c r="S41" s="2">
        <v>39554925</v>
      </c>
      <c r="T41" s="1"/>
      <c r="U41" s="1"/>
      <c r="V41" s="1"/>
      <c r="W41" s="2"/>
    </row>
    <row r="42" spans="1:23" x14ac:dyDescent="0.25">
      <c r="A42">
        <v>2000</v>
      </c>
      <c r="B42" s="2">
        <v>6205.0811704749867</v>
      </c>
      <c r="C42" s="2">
        <v>79655692</v>
      </c>
      <c r="D42" s="2">
        <v>16.205508712938169</v>
      </c>
      <c r="E42" s="2">
        <v>1.8894909334187422</v>
      </c>
      <c r="F42" s="2">
        <v>-0.70908957418641549</v>
      </c>
      <c r="G42" s="2">
        <v>27.485772140426576</v>
      </c>
      <c r="H42" s="2">
        <v>19.244450227109947</v>
      </c>
      <c r="I42" s="2">
        <v>8.7911633483769123</v>
      </c>
      <c r="J42" s="2"/>
      <c r="K42" s="2">
        <v>2.6019908100352707</v>
      </c>
      <c r="L42" s="2">
        <v>1.5185611185660965</v>
      </c>
      <c r="M42" s="2">
        <v>1.1268171519996337</v>
      </c>
      <c r="N42" s="2"/>
      <c r="O42" s="1">
        <v>700</v>
      </c>
      <c r="P42" s="2">
        <v>5790841</v>
      </c>
      <c r="Q42" s="17">
        <v>1.9421999999999999</v>
      </c>
      <c r="R42" s="17">
        <v>5.8215091373242007</v>
      </c>
      <c r="S42" s="2">
        <v>41013293</v>
      </c>
      <c r="T42" s="1"/>
      <c r="U42" s="1"/>
      <c r="V42" s="1"/>
      <c r="W42" s="2"/>
    </row>
    <row r="43" spans="1:23" x14ac:dyDescent="0.25">
      <c r="A43">
        <v>2001</v>
      </c>
      <c r="B43" s="2">
        <v>6297.0304020561534</v>
      </c>
      <c r="C43" s="2">
        <v>88945596</v>
      </c>
      <c r="D43" s="2">
        <v>12.530986443857927</v>
      </c>
      <c r="E43" s="2">
        <v>4.7846725448630707</v>
      </c>
      <c r="F43" s="2">
        <v>1.7522845059300716</v>
      </c>
      <c r="G43" s="2">
        <v>30.447291623072601</v>
      </c>
      <c r="H43" s="2">
        <v>19.326859083613314</v>
      </c>
      <c r="I43" s="2">
        <v>12.108306070600729</v>
      </c>
      <c r="J43" s="2"/>
      <c r="K43" s="2">
        <v>2.9529766648161724</v>
      </c>
      <c r="L43" s="2">
        <v>1.51091273437767</v>
      </c>
      <c r="M43" s="2">
        <v>1.5192927595875574</v>
      </c>
      <c r="N43" s="2"/>
      <c r="O43" s="1">
        <v>763</v>
      </c>
      <c r="P43" s="2">
        <v>6478295</v>
      </c>
      <c r="Q43" s="17">
        <v>2.0975000000000001</v>
      </c>
      <c r="R43" s="17">
        <v>5.9862578459104752</v>
      </c>
      <c r="S43" s="2">
        <v>42405381</v>
      </c>
      <c r="T43" s="1"/>
      <c r="U43" s="1"/>
      <c r="V43" s="1"/>
      <c r="W43" s="2"/>
    </row>
    <row r="44" spans="1:23" x14ac:dyDescent="0.25">
      <c r="A44">
        <v>2002</v>
      </c>
      <c r="B44" s="2">
        <v>5635.1586857957582</v>
      </c>
      <c r="C44" s="2">
        <v>107840166</v>
      </c>
      <c r="D44" s="2">
        <v>22.433600059177095</v>
      </c>
      <c r="E44" s="2">
        <v>4.9974384848883178</v>
      </c>
      <c r="F44" s="2">
        <v>0.34645860388244842</v>
      </c>
      <c r="G44" s="2">
        <v>38.988949627544159</v>
      </c>
      <c r="H44" s="2">
        <v>29.191785554187668</v>
      </c>
      <c r="I44" s="2">
        <v>14.797898215401485</v>
      </c>
      <c r="J44" s="2"/>
      <c r="K44" s="2">
        <v>4.507956009918729</v>
      </c>
      <c r="L44" s="2">
        <v>2.0772713993191281</v>
      </c>
      <c r="M44" s="2">
        <v>2.7865341008469886</v>
      </c>
      <c r="N44" s="2"/>
      <c r="O44" s="1">
        <v>1401</v>
      </c>
      <c r="P44" s="2">
        <v>7701119.5</v>
      </c>
      <c r="Q44" s="17">
        <v>2.7902</v>
      </c>
      <c r="R44" s="17">
        <v>6.0814393456604519</v>
      </c>
      <c r="S44" s="2">
        <v>38650110</v>
      </c>
      <c r="T44" s="1"/>
      <c r="U44" s="1"/>
      <c r="V44" s="1"/>
      <c r="W44" s="2"/>
    </row>
    <row r="45" spans="1:23" x14ac:dyDescent="0.25">
      <c r="A45">
        <v>2003</v>
      </c>
      <c r="B45" s="2">
        <v>5103.4405100429185</v>
      </c>
      <c r="C45" s="2">
        <v>134227833</v>
      </c>
      <c r="D45" s="2">
        <v>31.090513515951841</v>
      </c>
      <c r="E45" s="2">
        <v>5.9317675381706048</v>
      </c>
      <c r="F45" s="2">
        <v>0.62976469327083084</v>
      </c>
      <c r="G45" s="2">
        <v>47.409147251896712</v>
      </c>
      <c r="H45" s="2">
        <v>29.517582988917059</v>
      </c>
      <c r="I45" s="2">
        <v>17.725320053405021</v>
      </c>
      <c r="J45" s="2"/>
      <c r="K45" s="2">
        <v>4.8876523055447967</v>
      </c>
      <c r="L45" s="2">
        <v>2.0336592839091603</v>
      </c>
      <c r="M45" s="2">
        <v>2.8425393711004783</v>
      </c>
      <c r="N45" s="2"/>
      <c r="O45" s="1">
        <v>1598</v>
      </c>
      <c r="P45" s="2">
        <v>11046649.91</v>
      </c>
      <c r="Q45" s="17">
        <v>3.7648999999999999</v>
      </c>
      <c r="R45" s="17">
        <v>6.2194880188069437</v>
      </c>
      <c r="S45" s="2">
        <v>35652678</v>
      </c>
      <c r="T45" s="1"/>
      <c r="U45" s="1"/>
      <c r="V45" s="1"/>
      <c r="W45" s="2"/>
    </row>
    <row r="46" spans="1:23" x14ac:dyDescent="0.25">
      <c r="A46">
        <v>2004</v>
      </c>
      <c r="B46" s="2">
        <v>5930.9411415148579</v>
      </c>
      <c r="C46" s="2">
        <v>212683082</v>
      </c>
      <c r="D46" s="2">
        <v>21.747033982404318</v>
      </c>
      <c r="E46" s="2">
        <v>2.3204731199576507</v>
      </c>
      <c r="F46" s="2">
        <v>-1.3783081023306356</v>
      </c>
      <c r="G46" s="2">
        <v>38.311530580509455</v>
      </c>
      <c r="H46" s="2">
        <v>24.777264606312222</v>
      </c>
      <c r="I46" s="2">
        <v>13.883059584400794</v>
      </c>
      <c r="J46" s="2"/>
      <c r="K46" s="2">
        <v>3.4199001122242532</v>
      </c>
      <c r="L46" s="2">
        <v>1.6342093310917487</v>
      </c>
      <c r="M46" s="2">
        <v>1.8086958134262885</v>
      </c>
      <c r="N46" s="2"/>
      <c r="O46" s="1">
        <v>1918</v>
      </c>
      <c r="P46" s="2">
        <v>17092000</v>
      </c>
      <c r="Q46" s="17">
        <v>5.0431999999999997</v>
      </c>
      <c r="R46" s="17">
        <v>6.3861702977109696</v>
      </c>
      <c r="S46" s="2">
        <v>42172343</v>
      </c>
      <c r="T46" s="1"/>
      <c r="U46" s="1"/>
      <c r="V46" s="1"/>
      <c r="W46" s="2"/>
    </row>
    <row r="47" spans="1:23" x14ac:dyDescent="0.25">
      <c r="A47">
        <v>2005</v>
      </c>
      <c r="B47" s="2">
        <v>6415.8441181007929</v>
      </c>
      <c r="C47" s="2">
        <v>304086815</v>
      </c>
      <c r="D47" s="2">
        <v>15.954630869083118</v>
      </c>
      <c r="E47" s="2">
        <v>-1.6240457515397371</v>
      </c>
      <c r="F47" s="2">
        <v>-4.5644182237891506</v>
      </c>
      <c r="G47" s="2">
        <v>32.434584511663225</v>
      </c>
      <c r="H47" s="2">
        <v>22.028003088525885</v>
      </c>
      <c r="I47" s="2">
        <v>10.991395664425635</v>
      </c>
      <c r="J47" s="2"/>
      <c r="K47" s="2">
        <v>2.8454757204780483</v>
      </c>
      <c r="L47" s="2">
        <v>1.5921047815063782</v>
      </c>
      <c r="M47" s="2">
        <v>1.2956392075072376</v>
      </c>
      <c r="N47" s="2"/>
      <c r="O47" s="2">
        <v>2147</v>
      </c>
      <c r="P47" s="2">
        <v>23344000</v>
      </c>
      <c r="Q47" s="17">
        <v>6.5362</v>
      </c>
      <c r="R47" s="17">
        <v>6.6026614708033717</v>
      </c>
      <c r="S47" s="5">
        <v>46523649</v>
      </c>
      <c r="T47" s="2"/>
      <c r="U47" s="2"/>
      <c r="V47" s="1"/>
      <c r="W47" s="2"/>
    </row>
    <row r="48" spans="1:23" x14ac:dyDescent="0.25">
      <c r="A48">
        <v>2006</v>
      </c>
      <c r="B48" s="2">
        <v>6930.1860261647935</v>
      </c>
      <c r="C48" s="2">
        <v>393926240</v>
      </c>
      <c r="D48" s="2">
        <v>13.529411764705884</v>
      </c>
      <c r="E48" s="2">
        <v>-1.7946506939979425E-2</v>
      </c>
      <c r="F48" s="2">
        <v>-2.088833178515856</v>
      </c>
      <c r="G48" s="2">
        <v>24.057442834983526</v>
      </c>
      <c r="H48" s="2">
        <v>14.853045585386747</v>
      </c>
      <c r="I48" s="2">
        <v>9.2043972495967772</v>
      </c>
      <c r="J48" s="2"/>
      <c r="K48" s="2">
        <v>2.0561559950918729</v>
      </c>
      <c r="L48" s="2">
        <v>1.3167825529977388</v>
      </c>
      <c r="M48" s="2">
        <v>0.73937344209413414</v>
      </c>
      <c r="N48" s="2"/>
      <c r="O48" s="2">
        <v>2147</v>
      </c>
      <c r="P48" s="2">
        <v>44318000</v>
      </c>
      <c r="Q48" s="17">
        <v>7.7064000000000004</v>
      </c>
      <c r="R48" s="17">
        <v>6.8156593682546065</v>
      </c>
      <c r="S48" s="4">
        <v>51116533</v>
      </c>
      <c r="T48" s="2"/>
      <c r="U48" s="2"/>
      <c r="V48" s="1"/>
      <c r="W48" s="2"/>
    </row>
    <row r="49" spans="1:23" x14ac:dyDescent="0.25">
      <c r="A49">
        <v>2007</v>
      </c>
      <c r="B49" s="2">
        <v>7415.534190305525</v>
      </c>
      <c r="C49" s="2">
        <v>494600000</v>
      </c>
      <c r="D49" s="2">
        <v>18.652849740932609</v>
      </c>
      <c r="E49" s="2">
        <v>-3.0067339264051758</v>
      </c>
      <c r="F49" s="2">
        <v>-4.5033859684593613</v>
      </c>
      <c r="G49" s="2">
        <v>19.143287505054587</v>
      </c>
      <c r="H49" s="2">
        <v>11.857551961180752</v>
      </c>
      <c r="I49" s="2">
        <v>7.2857355438738374</v>
      </c>
      <c r="J49" s="2"/>
      <c r="K49" s="2">
        <v>1.5106439547108774</v>
      </c>
      <c r="L49" s="2">
        <v>0.99970501415285073</v>
      </c>
      <c r="M49" s="2">
        <v>0.51093894055802669</v>
      </c>
      <c r="N49" s="2"/>
      <c r="O49" s="2">
        <v>2147</v>
      </c>
      <c r="P49" s="2">
        <v>65609000</v>
      </c>
      <c r="Q49" s="17">
        <v>8.8956999999999997</v>
      </c>
      <c r="R49" s="17">
        <v>7.010087638354995</v>
      </c>
      <c r="S49" s="4">
        <v>55600000</v>
      </c>
      <c r="T49" s="2"/>
      <c r="U49" s="2"/>
      <c r="V49" s="1"/>
      <c r="W49" s="2"/>
    </row>
    <row r="50" spans="1:23" x14ac:dyDescent="0.25">
      <c r="A50">
        <v>2008</v>
      </c>
      <c r="B50" s="2">
        <v>7677.545143743806</v>
      </c>
      <c r="C50" s="2">
        <v>677600000</v>
      </c>
      <c r="D50" s="2">
        <v>31.659388646288193</v>
      </c>
      <c r="E50" s="2">
        <v>1.1857249114521842</v>
      </c>
      <c r="F50" s="2">
        <v>-0.10858293978748525</v>
      </c>
      <c r="G50" s="2">
        <v>13.974194362455727</v>
      </c>
      <c r="H50" s="2">
        <v>9.4621990850059028</v>
      </c>
      <c r="I50" s="2">
        <v>4.5119952774498229</v>
      </c>
      <c r="J50" s="2"/>
      <c r="K50" s="2">
        <v>1.3096661747343565</v>
      </c>
      <c r="L50" s="2">
        <v>0.78769805194805198</v>
      </c>
      <c r="M50" s="2">
        <v>0.52196812278630456</v>
      </c>
      <c r="N50" s="2"/>
      <c r="O50" s="2">
        <v>2147</v>
      </c>
      <c r="P50" s="2">
        <v>83886000</v>
      </c>
      <c r="Q50" s="17">
        <v>11.5829</v>
      </c>
      <c r="R50" s="17">
        <v>7.2792119128790818</v>
      </c>
      <c r="S50" s="4">
        <v>58500000</v>
      </c>
      <c r="T50" s="2"/>
      <c r="U50" s="2"/>
      <c r="V50" s="1"/>
      <c r="W50" s="2"/>
    </row>
    <row r="51" spans="1:23" x14ac:dyDescent="0.25">
      <c r="A51">
        <v>2009</v>
      </c>
      <c r="B51" s="2">
        <v>7324.1884369101044</v>
      </c>
      <c r="C51" s="2">
        <v>707300000</v>
      </c>
      <c r="D51" s="2">
        <v>28.524046434494181</v>
      </c>
      <c r="E51" s="2">
        <v>5.0775709034355998</v>
      </c>
      <c r="F51" s="2">
        <v>3.731628446203874</v>
      </c>
      <c r="G51" s="2">
        <v>18.187424289551817</v>
      </c>
      <c r="H51" s="2">
        <v>10.665790894952638</v>
      </c>
      <c r="I51" s="2">
        <v>7.5216333945991796</v>
      </c>
      <c r="J51" s="2"/>
      <c r="K51" s="2">
        <v>1.321951081577831</v>
      </c>
      <c r="L51" s="2">
        <v>0.74278368443376219</v>
      </c>
      <c r="M51" s="2">
        <v>0.57916739714406895</v>
      </c>
      <c r="N51" s="2"/>
      <c r="O51" s="2">
        <v>2147</v>
      </c>
      <c r="P51" s="2">
        <v>104408000</v>
      </c>
      <c r="Q51" s="17">
        <v>12.474399999999999</v>
      </c>
      <c r="R51" s="17">
        <v>7.2500950652275655</v>
      </c>
      <c r="S51" s="4">
        <v>56700000</v>
      </c>
      <c r="T51" s="2"/>
      <c r="U51" s="2"/>
      <c r="V51" s="1"/>
      <c r="W51" s="2"/>
    </row>
    <row r="52" spans="1:23" x14ac:dyDescent="0.25">
      <c r="A52">
        <v>2010</v>
      </c>
      <c r="B52" s="2">
        <v>7098.6827745234077</v>
      </c>
      <c r="C52" s="2">
        <v>1016800000</v>
      </c>
      <c r="D52" s="2">
        <v>29.032258064516128</v>
      </c>
      <c r="E52" s="2">
        <v>3.569907651455547</v>
      </c>
      <c r="F52" s="2">
        <v>2.0894568253343824</v>
      </c>
      <c r="G52" s="2">
        <v>18.273492918961445</v>
      </c>
      <c r="H52" s="2">
        <v>9.4461091660110146</v>
      </c>
      <c r="I52" s="2">
        <v>8.8710820220298974</v>
      </c>
      <c r="J52" s="2"/>
      <c r="K52" s="2">
        <v>1.434160306845004</v>
      </c>
      <c r="L52" s="2">
        <v>0.7110029504327301</v>
      </c>
      <c r="M52" s="2">
        <v>0.72644649881982692</v>
      </c>
      <c r="N52" s="2"/>
      <c r="O52" s="2">
        <v>2594</v>
      </c>
      <c r="P52" s="2">
        <v>128448000</v>
      </c>
      <c r="Q52" s="17">
        <v>18.222200000000001</v>
      </c>
      <c r="R52" s="17">
        <v>7.3660965862712064</v>
      </c>
      <c r="S52" s="5">
        <v>55800000</v>
      </c>
      <c r="T52" s="2"/>
      <c r="U52" s="2"/>
      <c r="V52" s="1"/>
      <c r="W52" s="2"/>
    </row>
    <row r="53" spans="1:23" x14ac:dyDescent="0.25">
      <c r="A53">
        <v>2011</v>
      </c>
      <c r="B53" s="2">
        <v>7283.3972136877674</v>
      </c>
      <c r="C53" s="2">
        <v>1357500000</v>
      </c>
      <c r="D53" s="2">
        <v>27.099999999999994</v>
      </c>
      <c r="E53" s="2">
        <v>3.9835100552486189</v>
      </c>
      <c r="F53" s="2">
        <v>1.8442481767955801</v>
      </c>
      <c r="G53" s="2">
        <v>25.056922504604053</v>
      </c>
      <c r="H53" s="2">
        <v>13.725747845303868</v>
      </c>
      <c r="I53" s="2">
        <v>11.331174659300185</v>
      </c>
      <c r="J53" s="2"/>
      <c r="K53" s="2">
        <v>2.1063140331491712</v>
      </c>
      <c r="L53" s="2">
        <v>0.98259963167587472</v>
      </c>
      <c r="M53" s="2">
        <v>1.1237144014732965</v>
      </c>
      <c r="N53" s="2"/>
      <c r="O53" s="2">
        <v>4289</v>
      </c>
      <c r="P53" s="2">
        <v>192749000</v>
      </c>
      <c r="Q53" s="17">
        <v>23.364899999999999</v>
      </c>
      <c r="R53" s="17">
        <v>7.6018116770318853</v>
      </c>
      <c r="S53" s="5">
        <v>58100000</v>
      </c>
      <c r="T53" s="2"/>
      <c r="U53" s="2"/>
      <c r="V53" s="1"/>
      <c r="W53" s="2"/>
    </row>
    <row r="54" spans="1:23" x14ac:dyDescent="0.25">
      <c r="A54">
        <v>2012</v>
      </c>
      <c r="B54" s="2">
        <v>7586.3532606337048</v>
      </c>
      <c r="C54" s="2">
        <v>1635500000</v>
      </c>
      <c r="D54" s="2">
        <v>21.164437450826128</v>
      </c>
      <c r="E54" s="2">
        <v>4.8594074594925099</v>
      </c>
      <c r="F54" s="2">
        <v>2.1740381534698869</v>
      </c>
      <c r="G54" s="2">
        <v>27.484740690920209</v>
      </c>
      <c r="H54" s="2">
        <v>11.910334026291654</v>
      </c>
      <c r="I54" s="2">
        <v>15.574406664628555</v>
      </c>
      <c r="J54" s="2"/>
      <c r="K54" s="2">
        <v>2.6967603790889636</v>
      </c>
      <c r="L54" s="2">
        <v>1.050024824212779</v>
      </c>
      <c r="M54" s="2">
        <v>1.6467355548761846</v>
      </c>
      <c r="N54" s="2"/>
      <c r="O54" s="2">
        <v>4289</v>
      </c>
      <c r="P54" s="2">
        <v>275578000</v>
      </c>
      <c r="Q54" s="17">
        <v>26.636800000000001</v>
      </c>
      <c r="R54" s="17">
        <v>7.7614497222495542</v>
      </c>
      <c r="S54" s="5">
        <v>61400000</v>
      </c>
      <c r="T54" s="2"/>
      <c r="U54" s="2"/>
      <c r="V54" s="1"/>
      <c r="W54" s="2"/>
    </row>
    <row r="55" spans="1:23" x14ac:dyDescent="0.25">
      <c r="A55">
        <v>2013</v>
      </c>
      <c r="B55" s="2">
        <v>7576.2063265092211</v>
      </c>
      <c r="C55" s="2">
        <v>2245800000</v>
      </c>
      <c r="D55" s="2">
        <v>38.506493506493513</v>
      </c>
      <c r="E55" s="2"/>
      <c r="F55" s="2">
        <v>7.0000000000000018</v>
      </c>
      <c r="G55" s="2">
        <v>31.787068305280968</v>
      </c>
      <c r="H55" s="2">
        <v>12.533023599608157</v>
      </c>
      <c r="I55" s="2">
        <v>19.724731142577255</v>
      </c>
      <c r="J55" s="2"/>
      <c r="K55" s="2">
        <v>3.1252865348650816</v>
      </c>
      <c r="L55" s="2">
        <v>1.1371527295395849</v>
      </c>
      <c r="M55" s="2">
        <v>2.0308403686882182</v>
      </c>
      <c r="N55" s="2"/>
      <c r="O55" s="2">
        <v>6284</v>
      </c>
      <c r="P55" s="2">
        <v>461148000</v>
      </c>
      <c r="Q55" s="17">
        <v>36.106099999999998</v>
      </c>
      <c r="R55" s="17">
        <v>7.8778714680832964</v>
      </c>
      <c r="S55" s="5">
        <v>62200000</v>
      </c>
      <c r="T55" s="2"/>
      <c r="U55" s="2"/>
      <c r="V55" s="1"/>
      <c r="W55" s="2"/>
    </row>
    <row r="56" spans="1:23" x14ac:dyDescent="0.25">
      <c r="A56">
        <v>2014</v>
      </c>
      <c r="B56" s="2">
        <v>7184.3573598407665</v>
      </c>
      <c r="C56" s="2">
        <v>3031200000</v>
      </c>
      <c r="D56" s="2">
        <v>57.337083919362385</v>
      </c>
      <c r="E56" s="2"/>
      <c r="F56" s="2">
        <v>7.0000000000000009</v>
      </c>
      <c r="G56" s="2">
        <v>28.415446951702297</v>
      </c>
      <c r="H56" s="2">
        <v>8.9844283452098175</v>
      </c>
      <c r="I56" s="2">
        <v>19.431018606492479</v>
      </c>
      <c r="J56" s="2"/>
      <c r="K56" s="2">
        <v>2.9706356558458697</v>
      </c>
      <c r="L56" s="2">
        <v>0.82177936130905249</v>
      </c>
      <c r="M56" s="2">
        <v>2.148856294536817</v>
      </c>
      <c r="N56" s="2"/>
      <c r="O56" s="2">
        <v>6284</v>
      </c>
      <c r="P56" s="2">
        <v>757994119</v>
      </c>
      <c r="Q56" s="17">
        <v>50.689</v>
      </c>
      <c r="R56" s="17">
        <v>8.0039174115726297</v>
      </c>
      <c r="S56" s="5">
        <v>59800000</v>
      </c>
      <c r="T56" s="2"/>
      <c r="U56" s="2"/>
      <c r="V56" s="1"/>
      <c r="W56" s="2"/>
    </row>
    <row r="57" spans="1:23" x14ac:dyDescent="0.25">
      <c r="A57">
        <v>2015</v>
      </c>
      <c r="B57" s="2">
        <v>6648.9951786487918</v>
      </c>
      <c r="C57" s="2">
        <v>6025300000</v>
      </c>
      <c r="D57" s="2">
        <v>111.76996424314663</v>
      </c>
      <c r="E57" s="2"/>
      <c r="F57" s="2">
        <v>7.0000000000000009</v>
      </c>
      <c r="G57" s="2">
        <v>17.938388395598558</v>
      </c>
      <c r="H57" s="2">
        <v>4.435813785205716</v>
      </c>
      <c r="I57" s="2">
        <v>13.502574610392843</v>
      </c>
      <c r="J57" s="2"/>
      <c r="K57" s="2">
        <v>1.662968648863957</v>
      </c>
      <c r="L57" s="2">
        <v>0.39214379367002472</v>
      </c>
      <c r="M57" s="2">
        <v>1.2708248551939323</v>
      </c>
      <c r="N57" s="2"/>
      <c r="O57" s="2">
        <v>6284</v>
      </c>
      <c r="P57" s="2">
        <v>1600945424</v>
      </c>
      <c r="Q57" s="17">
        <v>107.4029</v>
      </c>
      <c r="R57" s="17">
        <v>8.0119213289842008</v>
      </c>
      <c r="S57" s="5">
        <v>56100000</v>
      </c>
      <c r="T57" s="2"/>
      <c r="U57" s="2"/>
      <c r="V57" s="1"/>
      <c r="W57" s="2"/>
    </row>
    <row r="58" spans="1:23" x14ac:dyDescent="0.25">
      <c r="A58">
        <v>2016</v>
      </c>
      <c r="B58" s="2">
        <v>5483.0895565433884</v>
      </c>
      <c r="C58" s="2">
        <v>23751849490</v>
      </c>
      <c r="D58" s="2">
        <v>274.00000000000006</v>
      </c>
      <c r="E58" s="2"/>
      <c r="F58" s="2">
        <v>12</v>
      </c>
      <c r="G58" s="2">
        <v>6.1038527867498704</v>
      </c>
      <c r="H58" s="2">
        <v>1.9638090717793615</v>
      </c>
      <c r="I58" s="2">
        <v>4.2813985935206427</v>
      </c>
      <c r="J58" s="2"/>
      <c r="K58" s="2">
        <v>0.55117580235222352</v>
      </c>
      <c r="L58" s="2">
        <v>0.1546319583048183</v>
      </c>
      <c r="M58" s="2">
        <v>0.40767424465521063</v>
      </c>
      <c r="N58" s="2"/>
      <c r="O58" s="2">
        <v>9975</v>
      </c>
      <c r="P58" s="2">
        <v>5379462178</v>
      </c>
      <c r="Q58" s="17">
        <v>506.74340000000001</v>
      </c>
      <c r="R58" s="17">
        <v>8.1160763062609949</v>
      </c>
      <c r="S58" s="5">
        <v>46871550</v>
      </c>
      <c r="T58" s="2"/>
      <c r="U58" s="2"/>
      <c r="V58" s="1"/>
      <c r="W58" s="2"/>
    </row>
    <row r="59" spans="1:23" x14ac:dyDescent="0.25">
      <c r="A59">
        <v>2017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1"/>
  <sheetViews>
    <sheetView workbookViewId="0"/>
  </sheetViews>
  <sheetFormatPr defaultColWidth="9.08984375" defaultRowHeight="12.5" x14ac:dyDescent="0.25"/>
  <cols>
    <col min="1" max="1" width="6.36328125" customWidth="1"/>
    <col min="2" max="2" width="9.08984375" customWidth="1"/>
    <col min="3" max="3" width="12" bestFit="1" customWidth="1"/>
    <col min="4" max="6" width="4" customWidth="1"/>
    <col min="7" max="7" width="7.54296875" bestFit="1" customWidth="1"/>
    <col min="8" max="8" width="7.54296875" customWidth="1"/>
    <col min="9" max="9" width="11.54296875" bestFit="1" customWidth="1"/>
    <col min="10" max="10" width="11.90625" bestFit="1" customWidth="1"/>
    <col min="11" max="11" width="2" style="7" customWidth="1"/>
    <col min="12" max="12" width="14.36328125" bestFit="1" customWidth="1"/>
    <col min="13" max="13" width="12.54296875" bestFit="1" customWidth="1"/>
    <col min="14" max="16" width="9.08984375" customWidth="1"/>
    <col min="17" max="17" width="20.453125" bestFit="1" customWidth="1"/>
    <col min="18" max="18" width="2" style="7" customWidth="1"/>
    <col min="19" max="19" width="11" bestFit="1" customWidth="1"/>
    <col min="20" max="20" width="11" customWidth="1"/>
    <col min="21" max="21" width="10" bestFit="1" customWidth="1"/>
    <col min="22" max="23" width="9.6328125" customWidth="1"/>
    <col min="24" max="24" width="10" bestFit="1" customWidth="1"/>
    <col min="25" max="25" width="9.6328125" customWidth="1"/>
    <col min="26" max="26" width="2" style="7" customWidth="1"/>
    <col min="27" max="27" width="5.90625" bestFit="1" customWidth="1"/>
    <col min="28" max="33" width="9.6328125" customWidth="1"/>
    <col min="34" max="34" width="13.08984375" bestFit="1" customWidth="1"/>
    <col min="35" max="36" width="9.6328125" customWidth="1"/>
    <col min="37" max="37" width="2" style="7" customWidth="1"/>
    <col min="38" max="38" width="5.90625" bestFit="1" customWidth="1"/>
    <col min="39" max="39" width="9.6328125" style="18" customWidth="1"/>
    <col min="40" max="40" width="10.453125" style="18" bestFit="1" customWidth="1"/>
    <col min="41" max="41" width="9.6328125" style="18" customWidth="1"/>
    <col min="42" max="42" width="12.90625" style="18" bestFit="1" customWidth="1"/>
    <col min="43" max="43" width="13.54296875" style="18" bestFit="1" customWidth="1"/>
    <col min="44" max="44" width="20.08984375" style="18" bestFit="1" customWidth="1"/>
    <col min="45" max="46" width="9.6328125" style="18" customWidth="1"/>
    <col min="47" max="47" width="2" style="7" customWidth="1"/>
  </cols>
  <sheetData>
    <row r="1" spans="1:46" x14ac:dyDescent="0.25">
      <c r="A1" t="s">
        <v>0</v>
      </c>
    </row>
    <row r="2" spans="1:46" x14ac:dyDescent="0.25">
      <c r="A2" t="s">
        <v>1</v>
      </c>
    </row>
    <row r="3" spans="1:46" x14ac:dyDescent="0.25">
      <c r="S3" s="27" t="s">
        <v>8</v>
      </c>
      <c r="T3" s="27"/>
      <c r="U3" s="27"/>
      <c r="V3" s="28"/>
      <c r="W3" s="27" t="s">
        <v>9</v>
      </c>
      <c r="X3" s="27"/>
      <c r="Y3" s="27"/>
      <c r="AB3" s="27" t="s">
        <v>8</v>
      </c>
      <c r="AC3" s="27"/>
      <c r="AD3" s="27"/>
      <c r="AE3" s="27"/>
      <c r="AF3" s="28"/>
      <c r="AG3" s="27" t="s">
        <v>9</v>
      </c>
      <c r="AH3" s="27"/>
      <c r="AI3" s="27"/>
      <c r="AJ3" s="27"/>
      <c r="AM3" s="26" t="s">
        <v>8</v>
      </c>
      <c r="AN3" s="26"/>
      <c r="AO3" s="26"/>
      <c r="AP3" s="29"/>
      <c r="AQ3" s="25" t="s">
        <v>9</v>
      </c>
      <c r="AR3" s="26"/>
      <c r="AS3" s="26"/>
      <c r="AT3" s="26"/>
    </row>
    <row r="4" spans="1:46" ht="13" x14ac:dyDescent="0.3">
      <c r="A4" t="s">
        <v>2</v>
      </c>
      <c r="B4" t="s">
        <v>4</v>
      </c>
      <c r="C4" t="s">
        <v>16</v>
      </c>
      <c r="D4" t="s">
        <v>17</v>
      </c>
      <c r="E4" t="s">
        <v>18</v>
      </c>
      <c r="F4" t="s">
        <v>19</v>
      </c>
      <c r="G4" s="3" t="s">
        <v>84</v>
      </c>
      <c r="H4" t="s">
        <v>12</v>
      </c>
      <c r="I4" t="s">
        <v>86</v>
      </c>
      <c r="J4" t="s">
        <v>7</v>
      </c>
      <c r="L4" t="s">
        <v>5</v>
      </c>
      <c r="M4" t="s">
        <v>34</v>
      </c>
      <c r="N4" t="s">
        <v>6</v>
      </c>
      <c r="O4" t="s">
        <v>25</v>
      </c>
      <c r="P4" t="s">
        <v>26</v>
      </c>
      <c r="Q4" t="s">
        <v>24</v>
      </c>
      <c r="S4" s="8" t="s">
        <v>5</v>
      </c>
      <c r="T4" s="8" t="s">
        <v>35</v>
      </c>
      <c r="U4" s="8" t="s">
        <v>34</v>
      </c>
      <c r="V4" s="9" t="s">
        <v>6</v>
      </c>
      <c r="W4" s="8" t="s">
        <v>10</v>
      </c>
      <c r="X4" s="8" t="s">
        <v>27</v>
      </c>
      <c r="Y4" s="8" t="s">
        <v>28</v>
      </c>
      <c r="AA4" s="8" t="s">
        <v>2</v>
      </c>
      <c r="AB4" s="12" t="s">
        <v>13</v>
      </c>
      <c r="AC4" s="8" t="s">
        <v>35</v>
      </c>
      <c r="AD4" s="12" t="s">
        <v>36</v>
      </c>
      <c r="AE4" s="12" t="s">
        <v>14</v>
      </c>
      <c r="AF4" s="9" t="str">
        <f>"-m_1/(gpi)"</f>
        <v>-m_1/(gpi)</v>
      </c>
      <c r="AG4" s="12" t="s">
        <v>29</v>
      </c>
      <c r="AH4" s="12" t="s">
        <v>30</v>
      </c>
      <c r="AI4" s="8" t="s">
        <v>15</v>
      </c>
      <c r="AJ4" s="8" t="s">
        <v>11</v>
      </c>
      <c r="AL4" s="8" t="s">
        <v>2</v>
      </c>
      <c r="AM4" s="19" t="s">
        <v>22</v>
      </c>
      <c r="AN4" s="19" t="s">
        <v>32</v>
      </c>
      <c r="AO4" s="19" t="s">
        <v>21</v>
      </c>
      <c r="AP4" s="20" t="s">
        <v>23</v>
      </c>
      <c r="AQ4" s="19" t="s">
        <v>31</v>
      </c>
      <c r="AR4" s="19" t="s">
        <v>33</v>
      </c>
      <c r="AS4" s="21" t="s">
        <v>15</v>
      </c>
      <c r="AT4" s="21" t="s">
        <v>20</v>
      </c>
    </row>
    <row r="5" spans="1:46" x14ac:dyDescent="0.25">
      <c r="A5">
        <v>1960</v>
      </c>
      <c r="B5">
        <f>Data!C2</f>
        <v>30232.38</v>
      </c>
      <c r="C5">
        <f>Data!S2</f>
        <v>11713494.35</v>
      </c>
      <c r="G5" s="3">
        <f>Data!O2</f>
        <v>3.22</v>
      </c>
      <c r="H5" s="3">
        <f>+G5*J5/I5</f>
        <v>1238.4615384615386</v>
      </c>
      <c r="I5" s="15">
        <f>Data!Q2</f>
        <v>2.5999999999999999E-3</v>
      </c>
      <c r="J5" s="3">
        <f>Data!R2</f>
        <v>1</v>
      </c>
      <c r="L5">
        <f>Data!I2*0.01*Data!C2</f>
        <v>1187.0000000000002</v>
      </c>
      <c r="M5" s="3">
        <f>Data!H2*0.01*Data!C2/Data!O2</f>
        <v>306.21118012422357</v>
      </c>
      <c r="N5">
        <f>Data!P2</f>
        <v>2427</v>
      </c>
      <c r="Q5">
        <f>Data!F2*0.01*Data!C2</f>
        <v>803</v>
      </c>
      <c r="S5" s="10">
        <f t="shared" ref="S5:S36" si="0">+L5</f>
        <v>1187.0000000000002</v>
      </c>
      <c r="T5" s="13">
        <f t="shared" ref="T5:T16" si="1">J5*G5/I5</f>
        <v>1238.4615384615386</v>
      </c>
      <c r="U5" s="10">
        <f t="shared" ref="U5:U13" si="2">+M5</f>
        <v>306.21118012422357</v>
      </c>
      <c r="V5" s="11">
        <f t="shared" ref="V5:V36" si="3">+N5</f>
        <v>2427</v>
      </c>
      <c r="W5" s="6">
        <f t="shared" ref="W5:W11" si="4">+Q5</f>
        <v>803</v>
      </c>
      <c r="X5" s="6"/>
      <c r="Y5" s="6"/>
      <c r="AA5">
        <v>1960</v>
      </c>
      <c r="AB5" s="13">
        <f t="shared" ref="AB5:AB36" si="5">+S5/B5</f>
        <v>3.9262539039268497E-2</v>
      </c>
      <c r="AC5" s="13">
        <f>T5</f>
        <v>1238.4615384615386</v>
      </c>
      <c r="AD5" s="13">
        <f>U5/(J5*C5)</f>
        <v>2.6141744809414928E-5</v>
      </c>
      <c r="AE5" s="13">
        <f t="shared" ref="AE5:AE36" si="6">+N5/B5</f>
        <v>8.027816533134341E-2</v>
      </c>
      <c r="AF5" s="14"/>
      <c r="AG5" s="15"/>
      <c r="AH5" s="15"/>
      <c r="AI5" s="15"/>
      <c r="AJ5" s="15"/>
      <c r="AL5">
        <v>1960</v>
      </c>
      <c r="AM5" s="22"/>
      <c r="AN5" s="22"/>
      <c r="AO5" s="22"/>
      <c r="AP5" s="23"/>
      <c r="AQ5" s="24"/>
      <c r="AR5" s="24"/>
      <c r="AS5" s="24"/>
      <c r="AT5" s="24"/>
    </row>
    <row r="6" spans="1:46" x14ac:dyDescent="0.25">
      <c r="A6">
        <v>1961</v>
      </c>
      <c r="B6">
        <f>Data!C3</f>
        <v>31825.79</v>
      </c>
      <c r="C6">
        <f>Data!S3</f>
        <v>12306451.369999999</v>
      </c>
      <c r="D6">
        <f t="shared" ref="D6:D12" si="7">+C6/C5</f>
        <v>1.0506217019688919</v>
      </c>
      <c r="E6">
        <f>+I6/I5</f>
        <v>1</v>
      </c>
      <c r="F6">
        <f>+J6/J5</f>
        <v>1.0107999999999999</v>
      </c>
      <c r="G6" s="3">
        <f>Data!O3</f>
        <v>3.22</v>
      </c>
      <c r="H6" s="3">
        <f>+G6*J6/I6</f>
        <v>1251.8369230769231</v>
      </c>
      <c r="I6" s="15">
        <f>Data!Q3</f>
        <v>2.5999999999999999E-3</v>
      </c>
      <c r="J6" s="3">
        <f>Data!R3</f>
        <v>1.0107999999999999</v>
      </c>
      <c r="L6">
        <f>Data!I3*0.01*Data!C3</f>
        <v>1558.0000000000002</v>
      </c>
      <c r="M6" s="3">
        <f>Data!H3*0.01*Data!C3/Data!O3</f>
        <v>252.79503105590061</v>
      </c>
      <c r="N6">
        <f>Data!P3</f>
        <v>2511</v>
      </c>
      <c r="O6">
        <f>1+Data!M3*0.01*Data!C3/Calculations!L5</f>
        <v>1.0623420387531592</v>
      </c>
      <c r="P6">
        <f>1+Data!L3*0.01*Data!C3/Data!O3/Calculations!M5</f>
        <v>1.0578093306288032</v>
      </c>
      <c r="Q6">
        <f>Data!F3*0.01*Data!C3</f>
        <v>61</v>
      </c>
      <c r="S6" s="6">
        <f t="shared" si="0"/>
        <v>1558.0000000000002</v>
      </c>
      <c r="T6" s="13">
        <f t="shared" si="1"/>
        <v>1251.8369230769231</v>
      </c>
      <c r="U6" s="6">
        <f t="shared" si="2"/>
        <v>252.79503105590061</v>
      </c>
      <c r="V6" s="11">
        <f t="shared" si="3"/>
        <v>2511</v>
      </c>
      <c r="W6" s="6">
        <f t="shared" si="4"/>
        <v>61</v>
      </c>
      <c r="X6" s="6">
        <f t="shared" ref="X6:X26" si="8">+S5*O6</f>
        <v>1261.0000000000002</v>
      </c>
      <c r="Y6" s="6">
        <f>+U5*P6</f>
        <v>323.91304347826082</v>
      </c>
      <c r="AA6">
        <v>1961</v>
      </c>
      <c r="AB6" s="13">
        <f t="shared" si="5"/>
        <v>4.8954008682895227E-2</v>
      </c>
      <c r="AC6" s="13">
        <f t="shared" ref="AC6:AC61" si="9">T6</f>
        <v>1251.8369230769231</v>
      </c>
      <c r="AD6" s="13">
        <f>U6/(J6*C6)</f>
        <v>2.032218778324288E-5</v>
      </c>
      <c r="AE6" s="13">
        <f t="shared" si="6"/>
        <v>7.8898277151957574E-2</v>
      </c>
      <c r="AF6" s="14">
        <f t="shared" ref="AF6:AF37" si="10">-AE5/(D6*E6)</f>
        <v>-7.6410153322456667E-2</v>
      </c>
      <c r="AG6" s="15">
        <f t="shared" ref="AG6:AG37" si="11">X6/B6</f>
        <v>3.9621954396104546E-2</v>
      </c>
      <c r="AH6" s="15">
        <f t="shared" ref="AH6:AH37" si="12">(H6/H5)*(AD5)*P6/(D6*F6)</f>
        <v>2.6320588587208695E-5</v>
      </c>
      <c r="AI6" s="15">
        <f t="shared" ref="AI6:AI37" si="13">+W6/B6</f>
        <v>1.9166845504856281E-3</v>
      </c>
      <c r="AJ6" s="15">
        <f t="shared" ref="AJ6:AJ37" si="14">+AB6+AD6+AE6-AG6-AH6-AF6-AI6</f>
        <v>0.16271780180991532</v>
      </c>
      <c r="AL6">
        <v>1961</v>
      </c>
      <c r="AM6" s="22">
        <f t="shared" ref="AM6:AM37" si="15">+AB6-AB5</f>
        <v>9.6914696436267295E-3</v>
      </c>
      <c r="AN6" s="22">
        <f t="shared" ref="AN6:AN37" si="16">AC6*(AD6-AD5)</f>
        <v>-7.2851363613139044E-3</v>
      </c>
      <c r="AO6" s="22">
        <f t="shared" ref="AO6:AO37" si="17">+AE6-AE5</f>
        <v>-1.3798881793858353E-3</v>
      </c>
      <c r="AP6" s="23">
        <f>+AF6+AE5</f>
        <v>3.8680120088867426E-3</v>
      </c>
      <c r="AQ6" s="24">
        <f t="shared" ref="AQ6:AQ37" si="18">AB5*((O6/(E6*D6))-1)</f>
        <v>4.3799797746734516E-4</v>
      </c>
      <c r="AR6" s="24">
        <f t="shared" ref="AR6:AR37" si="19">AC6*AD5*((P6/(F6*D6))-1)</f>
        <v>-1.2816475115240981E-4</v>
      </c>
      <c r="AS6" s="24">
        <f>+AI6</f>
        <v>1.9166845504856281E-3</v>
      </c>
      <c r="AT6" s="24">
        <f>SUM(AM6:AP6)-SUM(AQ6:AS6)</f>
        <v>2.6679393350131689E-3</v>
      </c>
    </row>
    <row r="7" spans="1:46" x14ac:dyDescent="0.25">
      <c r="A7">
        <v>1962</v>
      </c>
      <c r="B7">
        <f>Data!C4</f>
        <v>34771.18</v>
      </c>
      <c r="C7">
        <f>Data!S4</f>
        <v>13419326.25</v>
      </c>
      <c r="D7">
        <f t="shared" si="7"/>
        <v>1.0904302017324756</v>
      </c>
      <c r="E7">
        <f>+I7/I6</f>
        <v>1</v>
      </c>
      <c r="F7">
        <f t="shared" ref="E7:F61" si="20">+J7/J6</f>
        <v>1.0112000000000001</v>
      </c>
      <c r="G7" s="3">
        <f>Data!O4</f>
        <v>3.22</v>
      </c>
      <c r="H7" s="3">
        <f>+G7*J7/I7</f>
        <v>1265.8574966153849</v>
      </c>
      <c r="I7" s="15">
        <f>Data!Q4</f>
        <v>2.5999999999999999E-3</v>
      </c>
      <c r="J7" s="3">
        <f>Data!R4</f>
        <v>1.0221209600000001</v>
      </c>
      <c r="L7">
        <f>Data!I4*0.01*Data!C4</f>
        <v>1425</v>
      </c>
      <c r="M7" s="3">
        <f>Data!H4*0.01*Data!C4/Data!O4</f>
        <v>231.67701863354037</v>
      </c>
      <c r="N7">
        <f>Data!P4</f>
        <v>2301</v>
      </c>
      <c r="O7">
        <f>1+Data!M4*0.01*Data!C4/Calculations!L6</f>
        <v>1.0314505776636713</v>
      </c>
      <c r="P7">
        <f>1+Data!L4*0.01*Data!C4/Data!O4/Calculations!M6</f>
        <v>1.0503685503685505</v>
      </c>
      <c r="Q7">
        <f>Data!F4*0.01*Data!C4</f>
        <v>-781.00000000000011</v>
      </c>
      <c r="S7" s="6">
        <f t="shared" si="0"/>
        <v>1425</v>
      </c>
      <c r="T7" s="13">
        <f t="shared" si="1"/>
        <v>1265.8574966153849</v>
      </c>
      <c r="U7" s="6">
        <f t="shared" si="2"/>
        <v>231.67701863354037</v>
      </c>
      <c r="V7" s="11">
        <f>+N7</f>
        <v>2301</v>
      </c>
      <c r="W7" s="6">
        <f t="shared" si="4"/>
        <v>-781.00000000000011</v>
      </c>
      <c r="X7" s="6">
        <f t="shared" si="8"/>
        <v>1607.0000000000002</v>
      </c>
      <c r="Y7" s="6">
        <f>+U6*P7</f>
        <v>265.52795031055905</v>
      </c>
      <c r="AA7">
        <v>1962</v>
      </c>
      <c r="AB7" s="13">
        <f t="shared" si="5"/>
        <v>4.0982215731533989E-2</v>
      </c>
      <c r="AC7" s="13">
        <f t="shared" si="9"/>
        <v>1265.8574966153849</v>
      </c>
      <c r="AD7" s="13">
        <f>U7/(J7*C7)</f>
        <v>1.6890789516508142E-5</v>
      </c>
      <c r="AE7" s="13">
        <f t="shared" si="6"/>
        <v>6.6175493612813829E-2</v>
      </c>
      <c r="AF7" s="14">
        <f t="shared" si="10"/>
        <v>-7.2355183327281275E-2</v>
      </c>
      <c r="AG7" s="15">
        <f t="shared" si="11"/>
        <v>4.6216435565315878E-2</v>
      </c>
      <c r="AH7" s="15">
        <f t="shared" si="12"/>
        <v>1.9575564660890817E-5</v>
      </c>
      <c r="AI7" s="15">
        <f t="shared" si="13"/>
        <v>-2.2461130165844244E-2</v>
      </c>
      <c r="AJ7" s="15">
        <f t="shared" si="14"/>
        <v>0.15575490249701307</v>
      </c>
      <c r="AL7">
        <v>1962</v>
      </c>
      <c r="AM7" s="22">
        <f t="shared" si="15"/>
        <v>-7.9717929513612382E-3</v>
      </c>
      <c r="AN7" s="22">
        <f t="shared" si="16"/>
        <v>-4.3436612198192058E-3</v>
      </c>
      <c r="AO7" s="22">
        <f t="shared" si="17"/>
        <v>-1.2722783539143745E-2</v>
      </c>
      <c r="AP7" s="23">
        <f t="shared" ref="AP7:AP61" si="21">+AF7+AE6</f>
        <v>6.5430938246762993E-3</v>
      </c>
      <c r="AQ7" s="24">
        <f t="shared" si="18"/>
        <v>-2.6478439648780958E-3</v>
      </c>
      <c r="AR7" s="24">
        <f t="shared" si="19"/>
        <v>-1.2195791204606815E-3</v>
      </c>
      <c r="AS7" s="24">
        <f>+AI7</f>
        <v>-2.2461130165844244E-2</v>
      </c>
      <c r="AT7" s="24">
        <f>SUM(AM7:AP7)-SUM(AQ7:AS7)</f>
        <v>7.8334093655351295E-3</v>
      </c>
    </row>
    <row r="8" spans="1:46" x14ac:dyDescent="0.25">
      <c r="A8">
        <v>1963</v>
      </c>
      <c r="B8">
        <f>Data!C5</f>
        <v>37905.01</v>
      </c>
      <c r="C8">
        <f>Data!S5</f>
        <v>14338582.52</v>
      </c>
      <c r="D8">
        <f t="shared" si="7"/>
        <v>1.0685024160583323</v>
      </c>
      <c r="E8">
        <f t="shared" ref="E8:E15" si="22">+I8/I7</f>
        <v>1</v>
      </c>
      <c r="F8">
        <f t="shared" si="20"/>
        <v>1.0121</v>
      </c>
      <c r="G8" s="3">
        <f>Data!O5</f>
        <v>3.22</v>
      </c>
      <c r="H8" s="3">
        <f>+G8*J8/I8</f>
        <v>1281.174372324431</v>
      </c>
      <c r="I8" s="15">
        <f>Data!Q5</f>
        <v>2.5999999999999999E-3</v>
      </c>
      <c r="J8" s="3">
        <f>Data!R5</f>
        <v>1.034488623616</v>
      </c>
      <c r="L8">
        <f>Data!I5*0.01*Data!C5</f>
        <v>1323</v>
      </c>
      <c r="M8" s="3">
        <f>Data!H5*0.01*Data!C5/Data!O5</f>
        <v>214.90683229813661</v>
      </c>
      <c r="N8">
        <f>Data!P5</f>
        <v>2594</v>
      </c>
      <c r="O8">
        <f>1+Data!M5*0.01*Data!C5/Calculations!L7</f>
        <v>1.032280701754386</v>
      </c>
      <c r="P8">
        <f>1+Data!L5*0.01*Data!C5/Data!O5/Calculations!M7</f>
        <v>1.0469168900804289</v>
      </c>
      <c r="Q8">
        <f>Data!F5*0.01*Data!C5</f>
        <v>-760</v>
      </c>
      <c r="S8" s="6">
        <f t="shared" si="0"/>
        <v>1323</v>
      </c>
      <c r="T8" s="13">
        <f t="shared" si="1"/>
        <v>1281.174372324431</v>
      </c>
      <c r="U8" s="6">
        <f t="shared" si="2"/>
        <v>214.90683229813661</v>
      </c>
      <c r="V8" s="11">
        <f>+N8</f>
        <v>2594</v>
      </c>
      <c r="W8" s="6">
        <f t="shared" si="4"/>
        <v>-760</v>
      </c>
      <c r="X8" s="6">
        <f t="shared" si="8"/>
        <v>1471</v>
      </c>
      <c r="Y8" s="6">
        <f>+U7*P8</f>
        <v>242.54658385093165</v>
      </c>
      <c r="AA8">
        <v>1963</v>
      </c>
      <c r="AB8" s="13">
        <f t="shared" si="5"/>
        <v>3.4903037883382698E-2</v>
      </c>
      <c r="AC8" s="13">
        <f t="shared" si="9"/>
        <v>1281.174372324431</v>
      </c>
      <c r="AD8" s="13">
        <f>U8/(J8*C8)</f>
        <v>1.448832847590817E-5</v>
      </c>
      <c r="AE8" s="13">
        <f t="shared" si="6"/>
        <v>6.8434225449353528E-2</v>
      </c>
      <c r="AF8" s="14">
        <f t="shared" si="10"/>
        <v>-6.1932937743774966E-2</v>
      </c>
      <c r="AG8" s="15">
        <f t="shared" si="11"/>
        <v>3.8807534940631855E-2</v>
      </c>
      <c r="AH8" s="15">
        <f t="shared" si="12"/>
        <v>1.6549567474876389E-5</v>
      </c>
      <c r="AI8" s="15">
        <f t="shared" si="13"/>
        <v>-2.0050120023711905E-2</v>
      </c>
      <c r="AJ8" s="15">
        <f t="shared" si="14"/>
        <v>0.14651072492059228</v>
      </c>
      <c r="AL8">
        <v>1963</v>
      </c>
      <c r="AM8" s="22">
        <f t="shared" si="15"/>
        <v>-6.0791778481512904E-3</v>
      </c>
      <c r="AN8" s="22">
        <f t="shared" si="16"/>
        <v>-3.077971515724569E-3</v>
      </c>
      <c r="AO8" s="22">
        <f t="shared" si="17"/>
        <v>2.2587318365396986E-3</v>
      </c>
      <c r="AP8" s="23">
        <f t="shared" si="21"/>
        <v>4.2425558690388637E-3</v>
      </c>
      <c r="AQ8" s="24">
        <f t="shared" si="18"/>
        <v>-1.389277260828651E-3</v>
      </c>
      <c r="AR8" s="24">
        <f t="shared" si="19"/>
        <v>-6.9065260306197876E-4</v>
      </c>
      <c r="AS8" s="24">
        <f t="shared" ref="AS8:AS37" si="23">+AI8</f>
        <v>-2.0050120023711905E-2</v>
      </c>
      <c r="AT8" s="24">
        <f t="shared" ref="AT8:AT61" si="24">SUM(AM8:AP8)-SUM(AQ8:AS8)</f>
        <v>1.9474188229305238E-2</v>
      </c>
    </row>
    <row r="9" spans="1:46" x14ac:dyDescent="0.25">
      <c r="A9">
        <v>1964</v>
      </c>
      <c r="B9">
        <f>Data!C6</f>
        <v>41969.2</v>
      </c>
      <c r="C9">
        <f>Data!S6</f>
        <v>15734538.189999999</v>
      </c>
      <c r="D9">
        <f t="shared" si="7"/>
        <v>1.0973566018853584</v>
      </c>
      <c r="E9">
        <f t="shared" si="22"/>
        <v>1.0384615384615385</v>
      </c>
      <c r="F9">
        <f t="shared" si="20"/>
        <v>1.0131000000000001</v>
      </c>
      <c r="G9" s="3">
        <f>Data!O6</f>
        <v>4.45</v>
      </c>
      <c r="H9" s="3">
        <f t="shared" ref="H9:H36" si="25">+G9*J9/I9</f>
        <v>1727.3258849647764</v>
      </c>
      <c r="I9" s="15">
        <f>Data!Q6</f>
        <v>2.7000000000000001E-3</v>
      </c>
      <c r="J9" s="3">
        <f>Data!R6</f>
        <v>1.0480404245853698</v>
      </c>
      <c r="L9">
        <f>Data!I6*0.01*Data!C6</f>
        <v>926.00000000000011</v>
      </c>
      <c r="M9" s="3">
        <f>Data!H6*0.01*Data!C6/Data!O6</f>
        <v>192.35955056179773</v>
      </c>
      <c r="N9">
        <f>Data!P6</f>
        <v>2736</v>
      </c>
      <c r="O9">
        <f>1+Data!M6*0.01*Data!C6/Calculations!L8</f>
        <v>1.038548752834467</v>
      </c>
      <c r="P9">
        <f>1+Data!L6*0.01*Data!C6/Data!O6/Calculations!M8</f>
        <v>1.0470546210300709</v>
      </c>
      <c r="Q9">
        <f>Data!F6*0.01*Data!C6</f>
        <v>-790.00000000000011</v>
      </c>
      <c r="S9" s="6">
        <f t="shared" si="0"/>
        <v>926.00000000000011</v>
      </c>
      <c r="T9" s="13">
        <f t="shared" si="1"/>
        <v>1727.3258849647764</v>
      </c>
      <c r="U9" s="6">
        <f t="shared" si="2"/>
        <v>192.35955056179773</v>
      </c>
      <c r="V9" s="11">
        <f>+N9</f>
        <v>2736</v>
      </c>
      <c r="W9" s="6">
        <f t="shared" si="4"/>
        <v>-790.00000000000011</v>
      </c>
      <c r="X9" s="6">
        <f t="shared" si="8"/>
        <v>1373.9999999999998</v>
      </c>
      <c r="Y9" s="6">
        <f t="shared" ref="Y9:Y61" si="26">+U8*P9</f>
        <v>225.01919184869843</v>
      </c>
      <c r="AA9">
        <v>1964</v>
      </c>
      <c r="AB9" s="13">
        <f t="shared" si="5"/>
        <v>2.2063799167008191E-2</v>
      </c>
      <c r="AC9" s="13">
        <f t="shared" si="9"/>
        <v>1727.3258849647764</v>
      </c>
      <c r="AD9" s="13">
        <f>U9/(J9*C9)</f>
        <v>1.1664918758147339E-5</v>
      </c>
      <c r="AE9" s="13">
        <f t="shared" si="6"/>
        <v>6.5190663629518794E-2</v>
      </c>
      <c r="AF9" s="14">
        <f t="shared" si="10"/>
        <v>-6.0053062417051412E-2</v>
      </c>
      <c r="AG9" s="15">
        <f t="shared" si="11"/>
        <v>3.273829379640307E-2</v>
      </c>
      <c r="AH9" s="15">
        <f t="shared" si="12"/>
        <v>1.8397277694659805E-5</v>
      </c>
      <c r="AI9" s="15">
        <f t="shared" si="13"/>
        <v>-1.8823327583084741E-2</v>
      </c>
      <c r="AJ9" s="15">
        <f t="shared" si="14"/>
        <v>0.13338582664132356</v>
      </c>
      <c r="AL9">
        <v>1964</v>
      </c>
      <c r="AM9" s="22">
        <f t="shared" si="15"/>
        <v>-1.2839238716374508E-2</v>
      </c>
      <c r="AN9" s="22">
        <f t="shared" si="16"/>
        <v>-4.8769486893493761E-3</v>
      </c>
      <c r="AO9" s="22">
        <f t="shared" si="17"/>
        <v>-3.2435618198347338E-3</v>
      </c>
      <c r="AP9" s="23">
        <f t="shared" si="21"/>
        <v>8.3811630323021163E-3</v>
      </c>
      <c r="AQ9" s="24">
        <f t="shared" si="18"/>
        <v>-3.0938984226931703E-3</v>
      </c>
      <c r="AR9" s="24">
        <f t="shared" si="19"/>
        <v>-1.455944103374413E-3</v>
      </c>
      <c r="AS9" s="24">
        <f t="shared" si="23"/>
        <v>-1.8823327583084741E-2</v>
      </c>
      <c r="AT9" s="24">
        <f t="shared" si="24"/>
        <v>1.0794583915895824E-2</v>
      </c>
    </row>
    <row r="10" spans="1:46" x14ac:dyDescent="0.25">
      <c r="A10">
        <v>1965</v>
      </c>
      <c r="B10">
        <f>Data!C7</f>
        <v>44663.75</v>
      </c>
      <c r="C10">
        <f>Data!S7</f>
        <v>16657684.119999999</v>
      </c>
      <c r="D10">
        <f t="shared" si="7"/>
        <v>1.0586700365052151</v>
      </c>
      <c r="E10">
        <f t="shared" si="22"/>
        <v>1</v>
      </c>
      <c r="F10">
        <f t="shared" si="20"/>
        <v>1.0166999999999999</v>
      </c>
      <c r="G10" s="3">
        <f>Data!O7</f>
        <v>4.45</v>
      </c>
      <c r="H10" s="3">
        <f t="shared" si="25"/>
        <v>1756.1722272436875</v>
      </c>
      <c r="I10" s="15">
        <f>Data!Q7</f>
        <v>2.7000000000000001E-3</v>
      </c>
      <c r="J10" s="3">
        <f>Data!R7</f>
        <v>1.0655426996759454</v>
      </c>
      <c r="L10">
        <f>Data!I7*0.01*Data!C7</f>
        <v>991.00000000000011</v>
      </c>
      <c r="M10" s="3">
        <f>Data!H7*0.01*Data!C7/Data!O7</f>
        <v>243.82022471910111</v>
      </c>
      <c r="N10">
        <f>Data!P7</f>
        <v>2996</v>
      </c>
      <c r="O10">
        <f>1+Data!M7*0.01*Data!C7/Calculations!L9</f>
        <v>1.0529157667386608</v>
      </c>
      <c r="P10">
        <f>1+Data!L7*0.01*Data!C7/Data!O7/Calculations!M9</f>
        <v>1.0397196261682242</v>
      </c>
      <c r="Q10">
        <f>Data!F7*0.01*Data!C7</f>
        <v>-230</v>
      </c>
      <c r="S10" s="6">
        <f t="shared" si="0"/>
        <v>991.00000000000011</v>
      </c>
      <c r="T10" s="13">
        <f t="shared" si="1"/>
        <v>1756.1722272436875</v>
      </c>
      <c r="U10" s="6">
        <f t="shared" si="2"/>
        <v>243.82022471910111</v>
      </c>
      <c r="V10" s="11">
        <f>+N10</f>
        <v>2996</v>
      </c>
      <c r="W10" s="6">
        <f t="shared" si="4"/>
        <v>-230</v>
      </c>
      <c r="X10" s="6">
        <f t="shared" si="8"/>
        <v>975</v>
      </c>
      <c r="Y10" s="6">
        <f t="shared" si="26"/>
        <v>199.99999999999997</v>
      </c>
      <c r="AA10">
        <v>1965</v>
      </c>
      <c r="AB10" s="13">
        <f t="shared" si="5"/>
        <v>2.2188016008508022E-2</v>
      </c>
      <c r="AC10" s="13">
        <f t="shared" si="9"/>
        <v>1756.1722272436875</v>
      </c>
      <c r="AD10" s="13">
        <f t="shared" ref="AD10:AD19" si="27">U10/(J10*C10)</f>
        <v>1.3736757987086678E-5</v>
      </c>
      <c r="AE10" s="13">
        <f t="shared" si="6"/>
        <v>6.7079007024712436E-2</v>
      </c>
      <c r="AF10" s="14">
        <f t="shared" si="10"/>
        <v>-6.1577886765096575E-2</v>
      </c>
      <c r="AG10" s="15">
        <f t="shared" si="11"/>
        <v>2.1829783661246535E-2</v>
      </c>
      <c r="AH10" s="15">
        <f t="shared" si="12"/>
        <v>1.1456114324856412E-5</v>
      </c>
      <c r="AI10" s="15">
        <f t="shared" si="13"/>
        <v>-5.1495899918837986E-3</v>
      </c>
      <c r="AJ10" s="15">
        <f t="shared" si="14"/>
        <v>0.13416699677261654</v>
      </c>
      <c r="AL10">
        <v>1965</v>
      </c>
      <c r="AM10" s="22">
        <f t="shared" si="15"/>
        <v>1.2421684149983153E-4</v>
      </c>
      <c r="AN10" s="22">
        <f t="shared" si="16"/>
        <v>3.638506513177243E-3</v>
      </c>
      <c r="AO10" s="22">
        <f t="shared" si="17"/>
        <v>1.8883433951936424E-3</v>
      </c>
      <c r="AP10" s="23">
        <f t="shared" si="21"/>
        <v>3.6127768644222194E-3</v>
      </c>
      <c r="AQ10" s="24">
        <f t="shared" si="18"/>
        <v>-1.1992504567443043E-4</v>
      </c>
      <c r="AR10" s="24">
        <f t="shared" si="19"/>
        <v>-6.9716354167203003E-4</v>
      </c>
      <c r="AS10" s="24">
        <f t="shared" si="23"/>
        <v>-5.1495899918837986E-3</v>
      </c>
      <c r="AT10" s="24">
        <f t="shared" si="24"/>
        <v>1.5230522193523196E-2</v>
      </c>
    </row>
    <row r="11" spans="1:46" x14ac:dyDescent="0.25">
      <c r="A11">
        <v>1966</v>
      </c>
      <c r="B11">
        <f>Data!C8</f>
        <v>46537.45</v>
      </c>
      <c r="C11">
        <f>Data!S8</f>
        <v>17047082.280000001</v>
      </c>
      <c r="D11">
        <f t="shared" si="7"/>
        <v>1.0233764884238903</v>
      </c>
      <c r="E11">
        <f t="shared" si="22"/>
        <v>1</v>
      </c>
      <c r="F11">
        <f t="shared" si="20"/>
        <v>1.0299</v>
      </c>
      <c r="G11" s="3">
        <f>Data!O8</f>
        <v>4.45</v>
      </c>
      <c r="H11" s="3">
        <f t="shared" si="25"/>
        <v>1808.6817768382743</v>
      </c>
      <c r="I11" s="15">
        <f>Data!Q8</f>
        <v>2.7000000000000001E-3</v>
      </c>
      <c r="J11" s="3">
        <f>Data!R8</f>
        <v>1.0974024263962563</v>
      </c>
      <c r="L11">
        <f>Data!I8*0.01*Data!C8</f>
        <v>1002</v>
      </c>
      <c r="M11" s="3">
        <f>Data!H8*0.01*Data!C8/Data!O8</f>
        <v>299.10112359550561</v>
      </c>
      <c r="N11">
        <f>Data!P8</f>
        <v>2976</v>
      </c>
      <c r="O11">
        <f>1+Data!M8*0.01*Data!C8/Calculations!L10</f>
        <v>1.0484359233097882</v>
      </c>
      <c r="P11">
        <f>1+Data!L8*0.01*Data!C8/Data!O8/Calculations!M10</f>
        <v>1.047926267281106</v>
      </c>
      <c r="Q11">
        <f>Data!F8*0.01*Data!C8</f>
        <v>-299</v>
      </c>
      <c r="S11" s="6">
        <f t="shared" si="0"/>
        <v>1002</v>
      </c>
      <c r="T11" s="13">
        <f t="shared" si="1"/>
        <v>1808.6817768382743</v>
      </c>
      <c r="U11" s="6">
        <f t="shared" si="2"/>
        <v>299.10112359550561</v>
      </c>
      <c r="V11" s="11">
        <f>+N11</f>
        <v>2976</v>
      </c>
      <c r="W11" s="6">
        <f t="shared" si="4"/>
        <v>-299</v>
      </c>
      <c r="X11" s="6">
        <f t="shared" si="8"/>
        <v>1039.0000000000002</v>
      </c>
      <c r="Y11" s="6">
        <f t="shared" si="26"/>
        <v>255.50561797752809</v>
      </c>
      <c r="AA11">
        <v>1966</v>
      </c>
      <c r="AB11" s="13">
        <f t="shared" si="5"/>
        <v>2.1531046501258665E-2</v>
      </c>
      <c r="AC11" s="13">
        <f t="shared" si="9"/>
        <v>1808.6817768382743</v>
      </c>
      <c r="AD11" s="13">
        <f t="shared" si="27"/>
        <v>1.5988291989493565E-5</v>
      </c>
      <c r="AE11" s="13">
        <f t="shared" si="6"/>
        <v>6.3948497392959866E-2</v>
      </c>
      <c r="AF11" s="14">
        <f t="shared" si="10"/>
        <v>-6.5546754086583822E-2</v>
      </c>
      <c r="AG11" s="15">
        <f t="shared" si="11"/>
        <v>2.2326105104598561E-2</v>
      </c>
      <c r="AH11" s="15">
        <f t="shared" si="12"/>
        <v>1.4066289078149217E-5</v>
      </c>
      <c r="AI11" s="15">
        <f t="shared" si="13"/>
        <v>-6.424933037800739E-3</v>
      </c>
      <c r="AJ11" s="15">
        <f t="shared" si="14"/>
        <v>0.13512704791691588</v>
      </c>
      <c r="AL11">
        <v>1966</v>
      </c>
      <c r="AM11" s="22">
        <f t="shared" si="15"/>
        <v>-6.569695072493574E-4</v>
      </c>
      <c r="AN11" s="22">
        <f t="shared" si="16"/>
        <v>4.0723085200850793E-3</v>
      </c>
      <c r="AO11" s="22">
        <f t="shared" si="17"/>
        <v>-3.1305096317525705E-3</v>
      </c>
      <c r="AP11" s="23">
        <f t="shared" si="21"/>
        <v>1.5322529381286143E-3</v>
      </c>
      <c r="AQ11" s="24">
        <f t="shared" si="18"/>
        <v>5.4331826918243577E-4</v>
      </c>
      <c r="AR11" s="24">
        <f t="shared" si="19"/>
        <v>-1.4259762465441985E-4</v>
      </c>
      <c r="AS11" s="24">
        <f t="shared" si="23"/>
        <v>-6.424933037800739E-3</v>
      </c>
      <c r="AT11" s="24">
        <f t="shared" si="24"/>
        <v>7.8412947124844885E-3</v>
      </c>
    </row>
    <row r="12" spans="1:46" x14ac:dyDescent="0.25">
      <c r="A12">
        <v>1967</v>
      </c>
      <c r="B12">
        <f>Data!C9</f>
        <v>49021.19</v>
      </c>
      <c r="C12">
        <f>Data!S9</f>
        <v>17733823.32</v>
      </c>
      <c r="D12">
        <f t="shared" si="7"/>
        <v>1.0402849607176297</v>
      </c>
      <c r="E12">
        <f t="shared" si="22"/>
        <v>1.037037037037037</v>
      </c>
      <c r="F12">
        <f t="shared" si="20"/>
        <v>1.0278</v>
      </c>
      <c r="G12" s="3">
        <f>Data!O9</f>
        <v>4.45</v>
      </c>
      <c r="H12" s="3">
        <f t="shared" si="25"/>
        <v>1792.5715898688647</v>
      </c>
      <c r="I12" s="15">
        <f>Data!Q9</f>
        <v>2.8E-3</v>
      </c>
      <c r="J12" s="3">
        <f>Data!R9</f>
        <v>1.1279102138500723</v>
      </c>
      <c r="L12">
        <f>Data!I9*0.01*Data!C9</f>
        <v>1282.9999999999998</v>
      </c>
      <c r="M12" s="3">
        <f>Data!H9*0.01*Data!C9/Data!O9</f>
        <v>347.64044943820221</v>
      </c>
      <c r="N12">
        <f>Data!P9</f>
        <v>3286</v>
      </c>
      <c r="O12">
        <f>1+Data!M9*0.01*Data!C9/Calculations!L11</f>
        <v>1.0568862275449102</v>
      </c>
      <c r="P12">
        <f>1+Data!L9*0.01*Data!C9/Data!O9/Calculations!M11</f>
        <v>1.0510894064613072</v>
      </c>
      <c r="Q12">
        <f>Data!F9*0.01*Data!C9</f>
        <v>-436.00000000000006</v>
      </c>
      <c r="S12" s="6">
        <f t="shared" si="0"/>
        <v>1282.9999999999998</v>
      </c>
      <c r="T12" s="13">
        <f t="shared" si="1"/>
        <v>1792.5715898688647</v>
      </c>
      <c r="U12" s="6">
        <f t="shared" si="2"/>
        <v>347.64044943820221</v>
      </c>
      <c r="V12" s="11">
        <f t="shared" si="3"/>
        <v>3286</v>
      </c>
      <c r="W12" s="6">
        <f t="shared" ref="W12:W17" si="28">+Q12</f>
        <v>-436.00000000000006</v>
      </c>
      <c r="X12" s="6">
        <f t="shared" si="8"/>
        <v>1059</v>
      </c>
      <c r="Y12" s="6">
        <f t="shared" si="26"/>
        <v>314.38202247191009</v>
      </c>
      <c r="AA12">
        <v>1967</v>
      </c>
      <c r="AB12" s="13">
        <f t="shared" si="5"/>
        <v>2.6172355261061587E-2</v>
      </c>
      <c r="AC12" s="13">
        <f t="shared" si="9"/>
        <v>1792.5715898688647</v>
      </c>
      <c r="AD12" s="13">
        <f t="shared" si="27"/>
        <v>1.7380145022378325E-5</v>
      </c>
      <c r="AE12" s="13">
        <f t="shared" si="6"/>
        <v>6.7032236467535769E-2</v>
      </c>
      <c r="AF12" s="14">
        <f t="shared" si="10"/>
        <v>-5.9276664389658923E-2</v>
      </c>
      <c r="AG12" s="15">
        <f t="shared" si="11"/>
        <v>2.1602902744711012E-2</v>
      </c>
      <c r="AH12" s="15">
        <f t="shared" si="12"/>
        <v>1.5577406131423929E-5</v>
      </c>
      <c r="AI12" s="15">
        <f t="shared" si="13"/>
        <v>-8.8941129336109551E-3</v>
      </c>
      <c r="AJ12" s="15">
        <f t="shared" si="14"/>
        <v>0.13977426904604717</v>
      </c>
      <c r="AL12">
        <v>1967</v>
      </c>
      <c r="AM12" s="22">
        <f t="shared" si="15"/>
        <v>4.6413087598029222E-3</v>
      </c>
      <c r="AN12" s="22">
        <f t="shared" si="16"/>
        <v>2.4949962040220369E-3</v>
      </c>
      <c r="AO12" s="22">
        <f t="shared" si="17"/>
        <v>3.083739074575903E-3</v>
      </c>
      <c r="AP12" s="23">
        <f t="shared" si="21"/>
        <v>4.6718330033009431E-3</v>
      </c>
      <c r="AQ12" s="24">
        <f t="shared" si="18"/>
        <v>-4.3763669324495443E-4</v>
      </c>
      <c r="AR12" s="24">
        <f t="shared" si="19"/>
        <v>-4.8558739057885571E-4</v>
      </c>
      <c r="AS12" s="24">
        <f t="shared" si="23"/>
        <v>-8.8941129336109551E-3</v>
      </c>
      <c r="AT12" s="24">
        <f t="shared" si="24"/>
        <v>2.4709214059136571E-2</v>
      </c>
    </row>
    <row r="13" spans="1:46" x14ac:dyDescent="0.25">
      <c r="A13">
        <v>1968</v>
      </c>
      <c r="B13">
        <f>Data!C10</f>
        <v>52816.87</v>
      </c>
      <c r="C13">
        <f>Data!S10</f>
        <v>18656104.879999999</v>
      </c>
      <c r="D13">
        <f t="shared" ref="D13:D61" si="29">+C13/C12</f>
        <v>1.052006921652358</v>
      </c>
      <c r="E13">
        <f t="shared" si="22"/>
        <v>1</v>
      </c>
      <c r="F13">
        <f t="shared" si="20"/>
        <v>1.0422</v>
      </c>
      <c r="G13" s="3">
        <f>Data!O10</f>
        <v>4.45</v>
      </c>
      <c r="H13" s="3">
        <f t="shared" si="25"/>
        <v>1868.2181109613311</v>
      </c>
      <c r="I13" s="15">
        <f>Data!Q10</f>
        <v>2.8E-3</v>
      </c>
      <c r="J13" s="3">
        <f>Data!R10</f>
        <v>1.1755080248745453</v>
      </c>
      <c r="L13">
        <f>Data!I10*0.01*Data!C10</f>
        <v>1647.0000000000002</v>
      </c>
      <c r="M13" s="3">
        <f>Data!H10*0.01*Data!C10/Data!O10</f>
        <v>422.47191011235952</v>
      </c>
      <c r="N13">
        <f>Data!P10</f>
        <v>3715</v>
      </c>
      <c r="O13">
        <f>1+Data!M10*0.01*Data!C10/Calculations!L12</f>
        <v>1.0724863600935308</v>
      </c>
      <c r="P13">
        <f>1+Data!L10*0.01*Data!C10/Data!O10/Calculations!M12</f>
        <v>1.0530058177117001</v>
      </c>
      <c r="Q13">
        <f>Data!F10*0.01*Data!C10</f>
        <v>-189</v>
      </c>
      <c r="S13" s="6">
        <f t="shared" si="0"/>
        <v>1647.0000000000002</v>
      </c>
      <c r="T13" s="13">
        <f t="shared" si="1"/>
        <v>1868.2181109613311</v>
      </c>
      <c r="U13" s="6">
        <f t="shared" si="2"/>
        <v>422.47191011235952</v>
      </c>
      <c r="V13" s="11">
        <f t="shared" si="3"/>
        <v>3715</v>
      </c>
      <c r="W13" s="6">
        <f t="shared" si="28"/>
        <v>-189</v>
      </c>
      <c r="X13" s="6">
        <f t="shared" si="8"/>
        <v>1375.9999999999998</v>
      </c>
      <c r="Y13" s="6">
        <f t="shared" si="26"/>
        <v>366.06741573033707</v>
      </c>
      <c r="AA13">
        <v>1968</v>
      </c>
      <c r="AB13" s="13">
        <f t="shared" si="5"/>
        <v>3.118321854362063E-2</v>
      </c>
      <c r="AC13" s="13">
        <f t="shared" si="9"/>
        <v>1868.2181109613311</v>
      </c>
      <c r="AD13" s="13">
        <f t="shared" si="27"/>
        <v>1.9264212730312204E-5</v>
      </c>
      <c r="AE13" s="13">
        <f t="shared" si="6"/>
        <v>7.0337375160625756E-2</v>
      </c>
      <c r="AF13" s="14">
        <f t="shared" si="10"/>
        <v>-6.3718436721167296E-2</v>
      </c>
      <c r="AG13" s="15">
        <f t="shared" si="11"/>
        <v>2.6052282159090452E-2</v>
      </c>
      <c r="AH13" s="15">
        <f t="shared" si="12"/>
        <v>1.7396647725940755E-5</v>
      </c>
      <c r="AI13" s="15">
        <f t="shared" si="13"/>
        <v>-3.5784021279564654E-3</v>
      </c>
      <c r="AJ13" s="15">
        <f t="shared" si="14"/>
        <v>0.14276701795928406</v>
      </c>
      <c r="AL13">
        <v>1968</v>
      </c>
      <c r="AM13" s="22">
        <f t="shared" si="15"/>
        <v>5.010863282559043E-3</v>
      </c>
      <c r="AN13" s="22">
        <f t="shared" si="16"/>
        <v>3.5198494142394754E-3</v>
      </c>
      <c r="AO13" s="22">
        <f>+AE13-AE12</f>
        <v>3.3051386930899873E-3</v>
      </c>
      <c r="AP13" s="23">
        <f t="shared" si="21"/>
        <v>3.3137997463684732E-3</v>
      </c>
      <c r="AQ13" s="24">
        <f t="shared" si="18"/>
        <v>5.094977299080327E-4</v>
      </c>
      <c r="AR13" s="24">
        <f t="shared" si="19"/>
        <v>-1.2851652294634296E-3</v>
      </c>
      <c r="AS13" s="24">
        <f t="shared" si="23"/>
        <v>-3.5784021279564654E-3</v>
      </c>
      <c r="AT13" s="24">
        <f t="shared" si="24"/>
        <v>1.9503720763768842E-2</v>
      </c>
    </row>
    <row r="14" spans="1:46" x14ac:dyDescent="0.25">
      <c r="A14">
        <v>1969</v>
      </c>
      <c r="B14">
        <f>Data!C11</f>
        <v>54136.27</v>
      </c>
      <c r="C14">
        <f>Data!S11</f>
        <v>19434079.530000001</v>
      </c>
      <c r="D14">
        <f t="shared" si="29"/>
        <v>1.0417008081271038</v>
      </c>
      <c r="E14">
        <f t="shared" si="22"/>
        <v>1</v>
      </c>
      <c r="F14">
        <f t="shared" si="20"/>
        <v>1.0541</v>
      </c>
      <c r="G14" s="3">
        <f>Data!O11</f>
        <v>4.45</v>
      </c>
      <c r="H14" s="3">
        <f t="shared" si="25"/>
        <v>1969.2887107643389</v>
      </c>
      <c r="I14" s="15">
        <f>Data!Q11</f>
        <v>2.8E-3</v>
      </c>
      <c r="J14" s="3">
        <f>Data!R11</f>
        <v>1.2391030090202582</v>
      </c>
      <c r="L14">
        <f>Data!I11*0.01*Data!C11</f>
        <v>2200</v>
      </c>
      <c r="M14" s="3">
        <f>Data!H11*0.01*Data!C11/Data!O11</f>
        <v>529.43820224719104</v>
      </c>
      <c r="N14">
        <f>Data!P11</f>
        <v>3949</v>
      </c>
      <c r="O14">
        <f>1+Data!M11*0.01*Data!C11/Calculations!L13</f>
        <v>1.0692167577413478</v>
      </c>
      <c r="P14">
        <f>1+Data!L11*0.01*Data!C11/Data!O11/Calculations!M13</f>
        <v>1.0468085106382978</v>
      </c>
      <c r="Q14">
        <f>Data!F11*0.01*Data!C11</f>
        <v>624</v>
      </c>
      <c r="S14" s="6">
        <f t="shared" si="0"/>
        <v>2200</v>
      </c>
      <c r="T14" s="13">
        <f t="shared" si="1"/>
        <v>1969.2887107643389</v>
      </c>
      <c r="U14" s="6">
        <f t="shared" ref="U14:U36" si="30">+M14</f>
        <v>529.43820224719104</v>
      </c>
      <c r="V14" s="11">
        <f t="shared" si="3"/>
        <v>3949</v>
      </c>
      <c r="W14" s="6">
        <f t="shared" si="28"/>
        <v>624</v>
      </c>
      <c r="X14" s="6">
        <f t="shared" si="8"/>
        <v>1761.0000000000002</v>
      </c>
      <c r="Y14" s="6">
        <f t="shared" si="26"/>
        <v>442.24719101123588</v>
      </c>
      <c r="AA14">
        <v>1969</v>
      </c>
      <c r="AB14" s="13">
        <f t="shared" si="5"/>
        <v>4.0638189516935694E-2</v>
      </c>
      <c r="AC14" s="13">
        <f t="shared" si="9"/>
        <v>1969.2887107643389</v>
      </c>
      <c r="AD14" s="13">
        <f t="shared" si="27"/>
        <v>2.1985881752710693E-5</v>
      </c>
      <c r="AE14" s="13">
        <f t="shared" si="6"/>
        <v>7.2945550182899568E-2</v>
      </c>
      <c r="AF14" s="14">
        <f t="shared" si="10"/>
        <v>-6.7521667077408559E-2</v>
      </c>
      <c r="AG14" s="15">
        <f t="shared" si="11"/>
        <v>3.2529023517874435E-2</v>
      </c>
      <c r="AH14" s="15">
        <f t="shared" si="12"/>
        <v>1.935866966743957E-5</v>
      </c>
      <c r="AI14" s="15">
        <f t="shared" si="13"/>
        <v>1.1526468299349031E-2</v>
      </c>
      <c r="AJ14" s="15">
        <f t="shared" si="14"/>
        <v>0.13705254217210563</v>
      </c>
      <c r="AL14">
        <v>1969</v>
      </c>
      <c r="AM14" s="22">
        <f t="shared" si="15"/>
        <v>9.454970973315064E-3</v>
      </c>
      <c r="AN14" s="22">
        <f t="shared" si="16"/>
        <v>5.3597520802463579E-3</v>
      </c>
      <c r="AO14" s="22">
        <f>+AE14-AE13</f>
        <v>2.608175022273812E-3</v>
      </c>
      <c r="AP14" s="23">
        <f t="shared" si="21"/>
        <v>2.8157080832171971E-3</v>
      </c>
      <c r="AQ14" s="24">
        <f t="shared" si="18"/>
        <v>8.2368743842957262E-4</v>
      </c>
      <c r="AR14" s="24">
        <f t="shared" si="19"/>
        <v>-1.7705793747381112E-3</v>
      </c>
      <c r="AS14" s="24">
        <f t="shared" si="23"/>
        <v>1.1526468299349031E-2</v>
      </c>
      <c r="AT14" s="24">
        <f t="shared" si="24"/>
        <v>9.6590297960119365E-3</v>
      </c>
    </row>
    <row r="15" spans="1:46" x14ac:dyDescent="0.25">
      <c r="A15">
        <v>1970</v>
      </c>
      <c r="B15">
        <f>Data!C12</f>
        <v>60852.57</v>
      </c>
      <c r="C15">
        <f>Data!S12</f>
        <v>20919792.149999999</v>
      </c>
      <c r="D15">
        <f t="shared" si="29"/>
        <v>1.0764488288579108</v>
      </c>
      <c r="E15">
        <f t="shared" si="22"/>
        <v>1.0357142857142856</v>
      </c>
      <c r="F15">
        <f t="shared" si="20"/>
        <v>1.0589999999999999</v>
      </c>
      <c r="G15" s="3">
        <f>Data!O12</f>
        <v>4.45</v>
      </c>
      <c r="H15" s="3">
        <f t="shared" si="25"/>
        <v>2013.5637535029027</v>
      </c>
      <c r="I15" s="15">
        <f>Data!Q12</f>
        <v>2.8999999999999998E-3</v>
      </c>
      <c r="J15" s="3">
        <f>Data!R12</f>
        <v>1.3122100865524533</v>
      </c>
      <c r="L15">
        <f>Data!I12*0.01*Data!C12</f>
        <v>2560</v>
      </c>
      <c r="M15" s="3">
        <f>Data!H12*0.01*Data!C12/Data!O12</f>
        <v>658.87640449438197</v>
      </c>
      <c r="N15">
        <f>Data!P12</f>
        <v>4088</v>
      </c>
      <c r="O15">
        <f>1+Data!M12*0.01*Data!C12/Calculations!L14</f>
        <v>1.0572727272727274</v>
      </c>
      <c r="P15">
        <f>1+Data!L12*0.01*Data!C12/Data!O12/Calculations!M14</f>
        <v>1.0730050933786077</v>
      </c>
      <c r="Q15">
        <f>Data!F12*0.01*Data!C12</f>
        <v>406</v>
      </c>
      <c r="S15" s="6">
        <f t="shared" si="0"/>
        <v>2560</v>
      </c>
      <c r="T15" s="13">
        <f t="shared" si="1"/>
        <v>2013.5637535029027</v>
      </c>
      <c r="U15" s="6">
        <f t="shared" si="30"/>
        <v>658.87640449438197</v>
      </c>
      <c r="V15" s="11">
        <f t="shared" si="3"/>
        <v>4088</v>
      </c>
      <c r="W15" s="6">
        <f t="shared" si="28"/>
        <v>406</v>
      </c>
      <c r="X15" s="6">
        <f t="shared" si="8"/>
        <v>2326</v>
      </c>
      <c r="Y15" s="6">
        <f t="shared" si="26"/>
        <v>568.08988764044943</v>
      </c>
      <c r="AA15">
        <v>1970</v>
      </c>
      <c r="AB15" s="13">
        <f t="shared" si="5"/>
        <v>4.2068888791385477E-2</v>
      </c>
      <c r="AC15" s="13">
        <f t="shared" si="9"/>
        <v>2013.5637535029027</v>
      </c>
      <c r="AD15" s="13">
        <f t="shared" si="27"/>
        <v>2.4001767140729734E-5</v>
      </c>
      <c r="AE15" s="13">
        <f t="shared" si="6"/>
        <v>6.7178756788743674E-2</v>
      </c>
      <c r="AF15" s="14">
        <f t="shared" si="10"/>
        <v>-6.5428271642242547E-2</v>
      </c>
      <c r="AG15" s="15">
        <f t="shared" si="11"/>
        <v>3.8223529425297893E-2</v>
      </c>
      <c r="AH15" s="15">
        <f t="shared" si="12"/>
        <v>2.1159836869284108E-5</v>
      </c>
      <c r="AI15" s="15">
        <f t="shared" si="13"/>
        <v>6.6718628317587901E-3</v>
      </c>
      <c r="AJ15" s="15">
        <f t="shared" si="14"/>
        <v>0.12978336689558645</v>
      </c>
      <c r="AL15">
        <v>1970</v>
      </c>
      <c r="AM15" s="22">
        <f t="shared" si="15"/>
        <v>1.4306992744497829E-3</v>
      </c>
      <c r="AN15" s="22">
        <f t="shared" si="16"/>
        <v>4.0591137485312774E-3</v>
      </c>
      <c r="AO15" s="22">
        <f t="shared" si="17"/>
        <v>-5.7667933941558946E-3</v>
      </c>
      <c r="AP15" s="23">
        <f>+AF15+AE14</f>
        <v>7.5172785406570214E-3</v>
      </c>
      <c r="AQ15" s="24">
        <f t="shared" si="18"/>
        <v>-2.1002913554122272E-3</v>
      </c>
      <c r="AR15" s="24">
        <f t="shared" si="19"/>
        <v>-2.6001467177628906E-3</v>
      </c>
      <c r="AS15" s="24">
        <f t="shared" si="23"/>
        <v>6.6718628317587901E-3</v>
      </c>
      <c r="AT15" s="24">
        <f t="shared" si="24"/>
        <v>5.2688734108985152E-3</v>
      </c>
    </row>
    <row r="16" spans="1:46" x14ac:dyDescent="0.25">
      <c r="A16">
        <v>1971</v>
      </c>
      <c r="B16">
        <f>Data!C13</f>
        <v>66836.649999999994</v>
      </c>
      <c r="C16">
        <f>Data!S13</f>
        <v>21562251.300000001</v>
      </c>
      <c r="D16">
        <f t="shared" si="29"/>
        <v>1.0307105895409197</v>
      </c>
      <c r="E16">
        <f t="shared" si="20"/>
        <v>1.0689655172413794</v>
      </c>
      <c r="F16">
        <f t="shared" si="20"/>
        <v>1.0426</v>
      </c>
      <c r="G16" s="3">
        <f>Data!O13</f>
        <v>4.3499999999999996</v>
      </c>
      <c r="H16" s="3">
        <f t="shared" si="25"/>
        <v>1919.7675895620023</v>
      </c>
      <c r="I16" s="15">
        <f>Data!Q13</f>
        <v>3.0999999999999999E-3</v>
      </c>
      <c r="J16" s="3">
        <f>Data!R13</f>
        <v>1.3681102362395878</v>
      </c>
      <c r="L16">
        <f>Data!I13*0.01*Data!C13</f>
        <v>2712.0000000000005</v>
      </c>
      <c r="M16" s="3">
        <f>Data!H13*0.01*Data!C13/Data!O13</f>
        <v>866.66666666666686</v>
      </c>
      <c r="N16">
        <f>Data!P13</f>
        <v>5134</v>
      </c>
      <c r="O16">
        <f>1+Data!M13*0.01*Data!C13/Calculations!L15</f>
        <v>1.073046875</v>
      </c>
      <c r="P16">
        <f>1+Data!L13*0.01*Data!C13/Data!O13/Calculations!M15</f>
        <v>1.0641633107347996</v>
      </c>
      <c r="Q16">
        <f>Data!F13*0.01*Data!C13</f>
        <v>-734.99999999999989</v>
      </c>
      <c r="S16" s="6">
        <f t="shared" si="0"/>
        <v>2712.0000000000005</v>
      </c>
      <c r="T16" s="13">
        <f t="shared" si="1"/>
        <v>1919.7675895620023</v>
      </c>
      <c r="U16" s="6">
        <f t="shared" si="30"/>
        <v>866.66666666666686</v>
      </c>
      <c r="V16" s="11">
        <f t="shared" si="3"/>
        <v>5134</v>
      </c>
      <c r="W16" s="6">
        <f t="shared" si="28"/>
        <v>-734.99999999999989</v>
      </c>
      <c r="X16" s="6">
        <f t="shared" si="8"/>
        <v>2747</v>
      </c>
      <c r="Y16" s="6">
        <f t="shared" si="26"/>
        <v>701.1520959717825</v>
      </c>
      <c r="AA16">
        <v>1971</v>
      </c>
      <c r="AB16" s="13">
        <f t="shared" si="5"/>
        <v>4.0576539967218592E-2</v>
      </c>
      <c r="AC16" s="13">
        <f t="shared" si="9"/>
        <v>1919.7675895620023</v>
      </c>
      <c r="AD16" s="13">
        <f t="shared" si="27"/>
        <v>2.9378992453193824E-5</v>
      </c>
      <c r="AE16" s="13">
        <f t="shared" si="6"/>
        <v>7.6814143138532534E-2</v>
      </c>
      <c r="AF16" s="14">
        <f t="shared" si="10"/>
        <v>-6.0972152692760739E-2</v>
      </c>
      <c r="AG16" s="15">
        <f t="shared" si="11"/>
        <v>4.1100204752931219E-2</v>
      </c>
      <c r="AH16" s="15">
        <f t="shared" si="12"/>
        <v>2.2661064747398492E-5</v>
      </c>
      <c r="AI16" s="15">
        <f t="shared" si="13"/>
        <v>-1.0996960499965213E-2</v>
      </c>
      <c r="AJ16" s="15">
        <f t="shared" si="14"/>
        <v>0.14826630947325167</v>
      </c>
      <c r="AL16">
        <v>1971</v>
      </c>
      <c r="AM16" s="22">
        <f t="shared" si="15"/>
        <v>-1.492348824166885E-3</v>
      </c>
      <c r="AN16" s="22">
        <f t="shared" si="16"/>
        <v>1.0323022876640969E-2</v>
      </c>
      <c r="AO16" s="22">
        <f t="shared" si="17"/>
        <v>9.6353863497888603E-3</v>
      </c>
      <c r="AP16" s="23">
        <f>+AF16+AE15</f>
        <v>6.2066040959829344E-3</v>
      </c>
      <c r="AQ16" s="24">
        <f t="shared" si="18"/>
        <v>-1.0976306096306399E-3</v>
      </c>
      <c r="AR16" s="24">
        <f t="shared" si="19"/>
        <v>-4.4831605784318096E-4</v>
      </c>
      <c r="AS16" s="24">
        <f t="shared" si="23"/>
        <v>-1.0996960499965213E-2</v>
      </c>
      <c r="AT16" s="24">
        <f t="shared" si="24"/>
        <v>3.7215571665684913E-2</v>
      </c>
    </row>
    <row r="17" spans="1:46" x14ac:dyDescent="0.25">
      <c r="A17">
        <v>1972</v>
      </c>
      <c r="B17">
        <f>Data!C14</f>
        <v>71937.62</v>
      </c>
      <c r="C17">
        <f>Data!S14</f>
        <v>22264618.219999999</v>
      </c>
      <c r="D17">
        <f t="shared" si="29"/>
        <v>1.0325739140235324</v>
      </c>
      <c r="E17">
        <f t="shared" si="20"/>
        <v>1.0322580645161292</v>
      </c>
      <c r="F17">
        <f t="shared" si="20"/>
        <v>1.0330999999999999</v>
      </c>
      <c r="G17" s="3">
        <f>Data!O14</f>
        <v>4.3499999999999996</v>
      </c>
      <c r="H17" s="3">
        <f t="shared" si="25"/>
        <v>1921.3334000022385</v>
      </c>
      <c r="I17" s="15">
        <f>Data!Q14</f>
        <v>3.2000000000000002E-3</v>
      </c>
      <c r="J17" s="3">
        <f>Data!R14</f>
        <v>1.4133946850591181</v>
      </c>
      <c r="L17">
        <f>Data!I14*0.01*Data!C14</f>
        <v>2858</v>
      </c>
      <c r="M17" s="3">
        <f>Data!H14*0.01*Data!C14/Data!O14</f>
        <v>900.919540229885</v>
      </c>
      <c r="N17">
        <f>Data!P14</f>
        <v>5739</v>
      </c>
      <c r="O17">
        <f>1+Data!M14*0.01*Data!C14/Calculations!L16</f>
        <v>1.0704277286135693</v>
      </c>
      <c r="P17">
        <f>1+Data!L14*0.01*Data!C14/Data!O14/Calculations!M16</f>
        <v>1.0574300699300698</v>
      </c>
      <c r="Q17">
        <f>Data!F14*0.01*Data!C14</f>
        <v>-131</v>
      </c>
      <c r="S17" s="6">
        <f t="shared" si="0"/>
        <v>2858</v>
      </c>
      <c r="T17" s="13">
        <f t="shared" ref="T17:T61" si="31">J17*G17/I17</f>
        <v>1921.3334000022385</v>
      </c>
      <c r="U17" s="6">
        <f t="shared" si="30"/>
        <v>900.919540229885</v>
      </c>
      <c r="V17" s="11">
        <f t="shared" si="3"/>
        <v>5739</v>
      </c>
      <c r="W17" s="6">
        <f t="shared" si="28"/>
        <v>-131</v>
      </c>
      <c r="X17" s="6">
        <f t="shared" si="8"/>
        <v>2903.0000000000005</v>
      </c>
      <c r="Y17" s="6">
        <f t="shared" si="26"/>
        <v>916.43939393939399</v>
      </c>
      <c r="AA17">
        <v>1972</v>
      </c>
      <c r="AB17" s="13">
        <f t="shared" si="5"/>
        <v>3.9728865091728086E-2</v>
      </c>
      <c r="AC17" s="13">
        <f t="shared" si="9"/>
        <v>1921.3334000022385</v>
      </c>
      <c r="AD17" s="13">
        <f t="shared" si="27"/>
        <v>2.8629073936991949E-5</v>
      </c>
      <c r="AE17" s="13">
        <f t="shared" si="6"/>
        <v>7.9777451631010313E-2</v>
      </c>
      <c r="AF17" s="14">
        <f t="shared" si="10"/>
        <v>-7.2066222238263408E-2</v>
      </c>
      <c r="AG17" s="15">
        <f t="shared" si="11"/>
        <v>4.0354407054334025E-2</v>
      </c>
      <c r="AH17" s="15">
        <f t="shared" si="12"/>
        <v>2.9146010708427473E-5</v>
      </c>
      <c r="AI17" s="15">
        <f t="shared" si="13"/>
        <v>-1.8210221578083903E-3</v>
      </c>
      <c r="AJ17" s="15">
        <f t="shared" si="14"/>
        <v>0.15303863712770474</v>
      </c>
      <c r="AL17">
        <v>1972</v>
      </c>
      <c r="AM17" s="22">
        <f t="shared" si="15"/>
        <v>-8.4767487549050613E-4</v>
      </c>
      <c r="AN17" s="22">
        <f t="shared" si="16"/>
        <v>-1.4408434924587825E-3</v>
      </c>
      <c r="AO17" s="22">
        <f t="shared" si="17"/>
        <v>2.9633084924777786E-3</v>
      </c>
      <c r="AP17" s="23">
        <f t="shared" si="21"/>
        <v>4.7479209002691258E-3</v>
      </c>
      <c r="AQ17" s="24">
        <f t="shared" si="18"/>
        <v>1.7302044526264486E-4</v>
      </c>
      <c r="AR17" s="24">
        <f t="shared" si="19"/>
        <v>-4.9327273566887413E-4</v>
      </c>
      <c r="AS17" s="24">
        <f t="shared" si="23"/>
        <v>-1.8210221578083903E-3</v>
      </c>
      <c r="AT17" s="24">
        <f t="shared" si="24"/>
        <v>7.5639854730122349E-3</v>
      </c>
    </row>
    <row r="18" spans="1:46" x14ac:dyDescent="0.25">
      <c r="A18">
        <v>1973</v>
      </c>
      <c r="B18">
        <f>Data!C15</f>
        <v>85682.52</v>
      </c>
      <c r="C18">
        <f>Data!S15</f>
        <v>23657370.510000002</v>
      </c>
      <c r="D18">
        <f t="shared" si="29"/>
        <v>1.0625545103103953</v>
      </c>
      <c r="E18">
        <f t="shared" si="20"/>
        <v>1.125</v>
      </c>
      <c r="F18">
        <f t="shared" si="20"/>
        <v>1.0622</v>
      </c>
      <c r="G18" s="3">
        <f>Data!O15</f>
        <v>4.2850000000000001</v>
      </c>
      <c r="H18" s="3">
        <f t="shared" si="25"/>
        <v>1786.9733529730761</v>
      </c>
      <c r="I18" s="15">
        <f>Data!Q15</f>
        <v>3.5999999999999999E-3</v>
      </c>
      <c r="J18" s="3">
        <f>Data!R15</f>
        <v>1.5013078344697954</v>
      </c>
      <c r="L18">
        <f>Data!I15*0.01*Data!C15</f>
        <v>3224.0000000000005</v>
      </c>
      <c r="M18" s="3">
        <f>Data!H15*0.01*Data!C15/Data!O15</f>
        <v>913.18553092182026</v>
      </c>
      <c r="N18">
        <f>Data!P15</f>
        <v>7128</v>
      </c>
      <c r="O18">
        <f>1+Data!M15*0.01*Data!C15/Calculations!L17</f>
        <v>1.0713785864240728</v>
      </c>
      <c r="P18">
        <f>1+Data!L15*0.01*Data!C15/Data!O15/Calculations!M17</f>
        <v>1.0709044563561956</v>
      </c>
      <c r="Q18">
        <f>Data!F15*0.01*Data!C15</f>
        <v>-1822.0000000000002</v>
      </c>
      <c r="S18" s="6">
        <f t="shared" si="0"/>
        <v>3224.0000000000005</v>
      </c>
      <c r="T18" s="13">
        <f t="shared" si="31"/>
        <v>1786.9733529730761</v>
      </c>
      <c r="U18" s="6">
        <f>+M18</f>
        <v>913.18553092182026</v>
      </c>
      <c r="V18" s="11">
        <f t="shared" si="3"/>
        <v>7128</v>
      </c>
      <c r="W18" s="6">
        <f t="shared" ref="W18:W57" si="32">+Q18</f>
        <v>-1822.0000000000002</v>
      </c>
      <c r="X18" s="6">
        <f t="shared" si="8"/>
        <v>3062</v>
      </c>
      <c r="Y18" s="6">
        <f t="shared" si="26"/>
        <v>964.79875045055871</v>
      </c>
      <c r="AA18">
        <v>1973</v>
      </c>
      <c r="AB18" s="13">
        <f t="shared" si="5"/>
        <v>3.7627278002561083E-2</v>
      </c>
      <c r="AC18" s="13">
        <f t="shared" si="9"/>
        <v>1786.9733529730761</v>
      </c>
      <c r="AD18" s="13">
        <f t="shared" si="27"/>
        <v>2.5711226785681141E-5</v>
      </c>
      <c r="AE18" s="13">
        <f t="shared" si="6"/>
        <v>8.3190830521791367E-2</v>
      </c>
      <c r="AF18" s="14">
        <f t="shared" si="10"/>
        <v>-6.6738496378845089E-2</v>
      </c>
      <c r="AG18" s="15">
        <f t="shared" si="11"/>
        <v>3.5736577308884007E-2</v>
      </c>
      <c r="AH18" s="15">
        <f t="shared" si="12"/>
        <v>2.5264799362647808E-5</v>
      </c>
      <c r="AI18" s="15">
        <f t="shared" si="13"/>
        <v>-2.1264547307898975E-2</v>
      </c>
      <c r="AJ18" s="15">
        <f t="shared" si="14"/>
        <v>0.17308502132963555</v>
      </c>
      <c r="AL18">
        <v>1973</v>
      </c>
      <c r="AM18" s="22">
        <f t="shared" si="15"/>
        <v>-2.1015870891670022E-3</v>
      </c>
      <c r="AN18" s="22">
        <f t="shared" si="16"/>
        <v>-5.2141151074408124E-3</v>
      </c>
      <c r="AO18" s="22">
        <f t="shared" si="17"/>
        <v>3.4133788907810547E-3</v>
      </c>
      <c r="AP18" s="23">
        <f t="shared" si="21"/>
        <v>1.3038955252165224E-2</v>
      </c>
      <c r="AQ18" s="24">
        <f t="shared" si="18"/>
        <v>-4.1210456263118672E-3</v>
      </c>
      <c r="AR18" s="24">
        <f t="shared" si="19"/>
        <v>-2.6172893858901003E-3</v>
      </c>
      <c r="AS18" s="24">
        <f t="shared" si="23"/>
        <v>-2.1264547307898975E-2</v>
      </c>
      <c r="AT18" s="24">
        <f t="shared" si="24"/>
        <v>3.7139514266439411E-2</v>
      </c>
    </row>
    <row r="19" spans="1:46" x14ac:dyDescent="0.25">
      <c r="A19">
        <v>1974</v>
      </c>
      <c r="B19">
        <f>Data!C16</f>
        <v>131277.79</v>
      </c>
      <c r="C19">
        <f>Data!S16</f>
        <v>25091851.649999999</v>
      </c>
      <c r="D19">
        <f t="shared" si="29"/>
        <v>1.0606356965747161</v>
      </c>
      <c r="E19">
        <f t="shared" si="20"/>
        <v>1.4444444444444444</v>
      </c>
      <c r="F19">
        <f t="shared" si="20"/>
        <v>1.1104000000000001</v>
      </c>
      <c r="G19" s="3">
        <f>Data!O16</f>
        <v>4.2850000000000001</v>
      </c>
      <c r="H19" s="3">
        <f t="shared" si="25"/>
        <v>1373.7151461747487</v>
      </c>
      <c r="I19" s="15">
        <f>Data!Q16</f>
        <v>5.1999999999999998E-3</v>
      </c>
      <c r="J19" s="3">
        <f>Data!R16</f>
        <v>1.6670522193952608</v>
      </c>
      <c r="L19">
        <f>Data!I16*0.01*Data!C16</f>
        <v>5359</v>
      </c>
      <c r="M19" s="3">
        <f>Data!H16*0.01*Data!C16/Data!O16</f>
        <v>768.26137689614939</v>
      </c>
      <c r="N19">
        <f>Data!P16</f>
        <v>9903</v>
      </c>
      <c r="O19">
        <f>1+Data!M16*0.01*Data!C16/Calculations!L18</f>
        <v>1.0660669975186103</v>
      </c>
      <c r="P19">
        <f>1+Data!L16*0.01*Data!C16/Data!O16/Calculations!M18</f>
        <v>1.0692563250702785</v>
      </c>
      <c r="Q19">
        <f>Data!F16*0.01*Data!C16</f>
        <v>-3586</v>
      </c>
      <c r="S19" s="6">
        <f t="shared" si="0"/>
        <v>5359</v>
      </c>
      <c r="T19" s="13">
        <f t="shared" si="31"/>
        <v>1373.7151461747487</v>
      </c>
      <c r="U19" s="6">
        <f t="shared" si="30"/>
        <v>768.26137689614939</v>
      </c>
      <c r="V19" s="11">
        <f t="shared" si="3"/>
        <v>9903</v>
      </c>
      <c r="W19" s="6">
        <f>+Q19</f>
        <v>-3586</v>
      </c>
      <c r="X19" s="6">
        <f t="shared" si="8"/>
        <v>3437</v>
      </c>
      <c r="Y19" s="6">
        <f t="shared" si="26"/>
        <v>976.42940490081662</v>
      </c>
      <c r="AA19">
        <v>1974</v>
      </c>
      <c r="AB19" s="13">
        <f t="shared" si="5"/>
        <v>4.0821832847734559E-2</v>
      </c>
      <c r="AC19" s="13">
        <f t="shared" si="9"/>
        <v>1373.7151461747487</v>
      </c>
      <c r="AD19" s="13">
        <f t="shared" si="27"/>
        <v>1.8366528836963282E-5</v>
      </c>
      <c r="AE19" s="13">
        <f t="shared" si="6"/>
        <v>7.5435456370799653E-2</v>
      </c>
      <c r="AF19" s="14">
        <f t="shared" si="10"/>
        <v>-5.4301068770076566E-2</v>
      </c>
      <c r="AG19" s="15">
        <f t="shared" si="11"/>
        <v>2.6181123250170496E-2</v>
      </c>
      <c r="AH19" s="15">
        <f t="shared" si="12"/>
        <v>1.7944755467238971E-5</v>
      </c>
      <c r="AI19" s="15">
        <f t="shared" si="13"/>
        <v>-2.7316121028545651E-2</v>
      </c>
      <c r="AJ19" s="15">
        <f t="shared" si="14"/>
        <v>0.17169377754035564</v>
      </c>
      <c r="AL19">
        <v>1974</v>
      </c>
      <c r="AM19" s="22">
        <f t="shared" si="15"/>
        <v>3.1945548451734751E-3</v>
      </c>
      <c r="AN19" s="22">
        <f t="shared" si="16"/>
        <v>-1.0089522816232332E-2</v>
      </c>
      <c r="AO19" s="22">
        <f t="shared" si="17"/>
        <v>-7.7553741509917146E-3</v>
      </c>
      <c r="AP19" s="23">
        <f t="shared" si="21"/>
        <v>2.8889761751714801E-2</v>
      </c>
      <c r="AQ19" s="24">
        <f t="shared" si="18"/>
        <v>-1.1444228989829159E-2</v>
      </c>
      <c r="AR19" s="24">
        <f t="shared" si="19"/>
        <v>-3.2531018166501264E-3</v>
      </c>
      <c r="AS19" s="24">
        <f t="shared" si="23"/>
        <v>-2.7316121028545651E-2</v>
      </c>
      <c r="AT19" s="24">
        <f t="shared" si="24"/>
        <v>5.6252871464689158E-2</v>
      </c>
    </row>
    <row r="20" spans="1:46" x14ac:dyDescent="0.25">
      <c r="A20">
        <v>1975</v>
      </c>
      <c r="B20">
        <f>Data!C17</f>
        <v>138136.79</v>
      </c>
      <c r="C20">
        <f>Data!S17</f>
        <v>26614335.239999998</v>
      </c>
      <c r="D20">
        <f t="shared" si="29"/>
        <v>1.0606764144486722</v>
      </c>
      <c r="E20">
        <f t="shared" si="20"/>
        <v>1</v>
      </c>
      <c r="F20">
        <f t="shared" si="20"/>
        <v>1.0912999999999999</v>
      </c>
      <c r="G20" s="3">
        <f>Data!O17</f>
        <v>4.2850000000000001</v>
      </c>
      <c r="H20" s="3">
        <f t="shared" si="25"/>
        <v>1499.1353390205031</v>
      </c>
      <c r="I20" s="15">
        <f>Data!Q17</f>
        <v>5.1999999999999998E-3</v>
      </c>
      <c r="J20" s="3">
        <f>Data!R17</f>
        <v>1.8192540870260481</v>
      </c>
      <c r="L20">
        <f>Data!I17*0.01*Data!C17</f>
        <v>6778.0000000000009</v>
      </c>
      <c r="M20" s="3">
        <f>Data!H17*0.01*Data!C17/Data!O17</f>
        <v>1405.8343057176196</v>
      </c>
      <c r="N20">
        <f>Data!P17</f>
        <v>13422</v>
      </c>
      <c r="O20">
        <f>1+Data!M17*0.01*Data!C17/Calculations!L19</f>
        <v>1.050569136032842</v>
      </c>
      <c r="P20">
        <f>1+Data!L17*0.01*Data!C17/Data!O17/Calculations!M19</f>
        <v>1.0710814094775212</v>
      </c>
      <c r="Q20">
        <f>Data!F17*0.01*Data!C17</f>
        <v>118.99999999999999</v>
      </c>
      <c r="S20" s="6">
        <f t="shared" si="0"/>
        <v>6778.0000000000009</v>
      </c>
      <c r="T20" s="13">
        <f t="shared" si="31"/>
        <v>1499.1353390205031</v>
      </c>
      <c r="U20" s="6">
        <f t="shared" si="30"/>
        <v>1405.8343057176196</v>
      </c>
      <c r="V20" s="11">
        <f t="shared" si="3"/>
        <v>13422</v>
      </c>
      <c r="W20" s="6">
        <f>+Q20</f>
        <v>118.99999999999999</v>
      </c>
      <c r="X20" s="6">
        <f t="shared" si="8"/>
        <v>5630</v>
      </c>
      <c r="Y20" s="6">
        <f t="shared" si="26"/>
        <v>822.87047841306878</v>
      </c>
      <c r="AA20">
        <v>1975</v>
      </c>
      <c r="AB20" s="13">
        <f t="shared" si="5"/>
        <v>4.9067304951852436E-2</v>
      </c>
      <c r="AC20" s="13">
        <f t="shared" si="9"/>
        <v>1499.1353390205031</v>
      </c>
      <c r="AD20" s="13">
        <f t="shared" ref="AD20:AD61" si="33">U20/(J20*C20)</f>
        <v>2.9035222246322439E-5</v>
      </c>
      <c r="AE20" s="13">
        <f t="shared" si="6"/>
        <v>9.7164556958359891E-2</v>
      </c>
      <c r="AF20" s="14">
        <f t="shared" si="10"/>
        <v>-7.112014120725986E-2</v>
      </c>
      <c r="AG20" s="15">
        <f t="shared" si="11"/>
        <v>4.0756702106658188E-2</v>
      </c>
      <c r="AH20" s="15">
        <f t="shared" si="12"/>
        <v>1.8546700318710752E-5</v>
      </c>
      <c r="AI20" s="15">
        <f t="shared" si="13"/>
        <v>8.6146492907501315E-4</v>
      </c>
      <c r="AJ20" s="15">
        <f t="shared" si="14"/>
        <v>0.1757443246036666</v>
      </c>
      <c r="AL20">
        <v>1975</v>
      </c>
      <c r="AM20" s="22">
        <f t="shared" si="15"/>
        <v>8.2454721041178777E-3</v>
      </c>
      <c r="AN20" s="22">
        <f t="shared" si="16"/>
        <v>1.5993815311145448E-2</v>
      </c>
      <c r="AO20" s="22">
        <f t="shared" si="17"/>
        <v>2.1729100587560238E-2</v>
      </c>
      <c r="AP20" s="23">
        <f t="shared" si="21"/>
        <v>4.3153151635397929E-3</v>
      </c>
      <c r="AQ20" s="24">
        <f t="shared" si="18"/>
        <v>-3.8899481917018365E-4</v>
      </c>
      <c r="AR20" s="24">
        <f t="shared" si="19"/>
        <v>-2.0560292952537928E-3</v>
      </c>
      <c r="AS20" s="24">
        <f t="shared" si="23"/>
        <v>8.6146492907501315E-4</v>
      </c>
      <c r="AT20" s="24">
        <f t="shared" si="24"/>
        <v>5.1867262351712316E-2</v>
      </c>
    </row>
    <row r="21" spans="1:46" x14ac:dyDescent="0.25">
      <c r="A21">
        <v>1976</v>
      </c>
      <c r="B21">
        <f>Data!C18</f>
        <v>158028.35999999999</v>
      </c>
      <c r="C21">
        <f>Data!S18</f>
        <v>28948672.359999999</v>
      </c>
      <c r="D21">
        <f t="shared" si="29"/>
        <v>1.087709766144811</v>
      </c>
      <c r="E21">
        <f t="shared" si="20"/>
        <v>1.0576923076923077</v>
      </c>
      <c r="F21">
        <f t="shared" si="20"/>
        <v>1.0573999999999999</v>
      </c>
      <c r="G21" s="3">
        <f>Data!O18</f>
        <v>4.2930000000000001</v>
      </c>
      <c r="H21" s="3">
        <f t="shared" si="25"/>
        <v>1501.5191114673503</v>
      </c>
      <c r="I21" s="15">
        <f>Data!Q18</f>
        <v>5.4999999999999997E-3</v>
      </c>
      <c r="J21" s="3">
        <f>Data!R18</f>
        <v>1.9236792716213431</v>
      </c>
      <c r="L21">
        <f>Data!I18*0.01*Data!C18</f>
        <v>8251</v>
      </c>
      <c r="M21" s="3">
        <f>Data!H18*0.01*Data!C18/Data!O18</f>
        <v>3295.3645469368739</v>
      </c>
      <c r="N21">
        <f>Data!P18</f>
        <v>16338</v>
      </c>
      <c r="O21">
        <f>1+Data!M18*0.01*Data!C18/Calculations!L20</f>
        <v>1.0750958984951313</v>
      </c>
      <c r="P21">
        <f>1+Data!L18*0.01*Data!C18/Data!O18/Calculations!M20</f>
        <v>1.0616810148682658</v>
      </c>
      <c r="Q21">
        <f>Data!F18*0.01*Data!C18</f>
        <v>4081.0000000000005</v>
      </c>
      <c r="S21" s="6">
        <f t="shared" si="0"/>
        <v>8251</v>
      </c>
      <c r="T21" s="13">
        <f t="shared" si="31"/>
        <v>1501.5191114673503</v>
      </c>
      <c r="U21" s="6">
        <f t="shared" si="30"/>
        <v>3295.3645469368739</v>
      </c>
      <c r="V21" s="11">
        <f t="shared" si="3"/>
        <v>16338</v>
      </c>
      <c r="W21" s="6">
        <f>+Q21</f>
        <v>4081.0000000000005</v>
      </c>
      <c r="X21" s="6">
        <f t="shared" si="8"/>
        <v>7287.0000000000009</v>
      </c>
      <c r="Y21" s="6">
        <f t="shared" si="26"/>
        <v>1492.5475924309062</v>
      </c>
      <c r="AA21">
        <v>1976</v>
      </c>
      <c r="AB21" s="13">
        <f t="shared" si="5"/>
        <v>5.2212147237369298E-2</v>
      </c>
      <c r="AC21" s="13">
        <f t="shared" si="9"/>
        <v>1501.5191114673503</v>
      </c>
      <c r="AD21" s="13">
        <f t="shared" si="33"/>
        <v>5.9175528967749806E-5</v>
      </c>
      <c r="AE21" s="13">
        <f t="shared" si="6"/>
        <v>0.10338650606764509</v>
      </c>
      <c r="AF21" s="14">
        <f t="shared" si="10"/>
        <v>-8.4456970869128109E-2</v>
      </c>
      <c r="AG21" s="15">
        <f t="shared" si="11"/>
        <v>4.6111976356648904E-2</v>
      </c>
      <c r="AH21" s="15">
        <f t="shared" si="12"/>
        <v>2.6844597359029113E-5</v>
      </c>
      <c r="AI21" s="15">
        <f t="shared" si="13"/>
        <v>2.5824478593589155E-2</v>
      </c>
      <c r="AJ21" s="15">
        <f t="shared" si="14"/>
        <v>0.16815150015551314</v>
      </c>
      <c r="AL21">
        <v>1976</v>
      </c>
      <c r="AM21" s="22">
        <f t="shared" si="15"/>
        <v>3.144842285516862E-3</v>
      </c>
      <c r="AN21" s="22">
        <f t="shared" si="16"/>
        <v>4.5256246567711024E-2</v>
      </c>
      <c r="AO21" s="22">
        <f t="shared" si="17"/>
        <v>6.2219491092851964E-3</v>
      </c>
      <c r="AP21" s="23">
        <f t="shared" si="21"/>
        <v>1.2707586089231782E-2</v>
      </c>
      <c r="AQ21" s="24">
        <f t="shared" si="18"/>
        <v>-3.2143808925962454E-3</v>
      </c>
      <c r="AR21" s="24">
        <f t="shared" si="19"/>
        <v>-3.3532565458580985E-3</v>
      </c>
      <c r="AS21" s="24">
        <f t="shared" si="23"/>
        <v>2.5824478593589155E-2</v>
      </c>
      <c r="AT21" s="24">
        <f t="shared" si="24"/>
        <v>4.8073782896610052E-2</v>
      </c>
    </row>
    <row r="22" spans="1:46" x14ac:dyDescent="0.25">
      <c r="A22">
        <v>1977</v>
      </c>
      <c r="B22">
        <f>Data!C19</f>
        <v>182126.09</v>
      </c>
      <c r="C22">
        <f>Data!S19</f>
        <v>30894641.890000001</v>
      </c>
      <c r="D22">
        <f t="shared" si="29"/>
        <v>1.0672213739476653</v>
      </c>
      <c r="E22">
        <f t="shared" si="20"/>
        <v>1.0727272727272728</v>
      </c>
      <c r="F22">
        <f t="shared" si="20"/>
        <v>1.0649000000000002</v>
      </c>
      <c r="G22" s="3">
        <f>Data!O19</f>
        <v>4.2930000000000001</v>
      </c>
      <c r="H22" s="3">
        <f t="shared" si="25"/>
        <v>1490.5631118489318</v>
      </c>
      <c r="I22" s="15">
        <f>Data!Q19</f>
        <v>5.8999999999999999E-3</v>
      </c>
      <c r="J22" s="3">
        <f>Data!R19</f>
        <v>2.0485260563495684</v>
      </c>
      <c r="L22">
        <f>Data!I19*0.01*Data!C19</f>
        <v>14463.999999999998</v>
      </c>
      <c r="M22" s="3">
        <f>Data!H19*0.01*Data!C19/Data!O19</f>
        <v>4723.0375029117167</v>
      </c>
      <c r="N22">
        <f>Data!P19</f>
        <v>20013</v>
      </c>
      <c r="O22">
        <f>1+Data!M19*0.01*Data!C19/Calculations!L21</f>
        <v>1.0665373894073447</v>
      </c>
      <c r="P22">
        <f>1+Data!L19*0.01*Data!C19/Data!O19/Calculations!M21</f>
        <v>1.0597299780872269</v>
      </c>
      <c r="Q22">
        <f>Data!F19*0.01*Data!C19</f>
        <v>7682.9999999999991</v>
      </c>
      <c r="S22" s="6">
        <f t="shared" si="0"/>
        <v>14463.999999999998</v>
      </c>
      <c r="T22" s="13">
        <f t="shared" si="31"/>
        <v>1490.5631118489318</v>
      </c>
      <c r="U22" s="6">
        <f t="shared" si="30"/>
        <v>4723.0375029117167</v>
      </c>
      <c r="V22" s="11">
        <f t="shared" si="3"/>
        <v>20013</v>
      </c>
      <c r="W22" s="6">
        <f t="shared" si="32"/>
        <v>7682.9999999999991</v>
      </c>
      <c r="X22" s="6">
        <f t="shared" si="8"/>
        <v>8800</v>
      </c>
      <c r="Y22" s="6">
        <f t="shared" si="26"/>
        <v>3492.1965991148377</v>
      </c>
      <c r="AA22">
        <v>1977</v>
      </c>
      <c r="AB22" s="13">
        <f t="shared" si="5"/>
        <v>7.9417506849238345E-2</v>
      </c>
      <c r="AC22" s="13">
        <f t="shared" si="9"/>
        <v>1490.5631118489318</v>
      </c>
      <c r="AD22" s="13">
        <f t="shared" si="33"/>
        <v>7.4627129360864091E-5</v>
      </c>
      <c r="AE22" s="13">
        <f t="shared" si="6"/>
        <v>0.10988540960825546</v>
      </c>
      <c r="AF22" s="14">
        <f t="shared" si="10"/>
        <v>-9.0306710277447425E-2</v>
      </c>
      <c r="AG22" s="15">
        <f t="shared" si="11"/>
        <v>4.8318173414912714E-2</v>
      </c>
      <c r="AH22" s="15">
        <f t="shared" si="12"/>
        <v>5.4776405775963007E-5</v>
      </c>
      <c r="AI22" s="15">
        <f t="shared" si="13"/>
        <v>4.2185059812133448E-2</v>
      </c>
      <c r="AJ22" s="15">
        <f t="shared" si="14"/>
        <v>0.18912624423147995</v>
      </c>
      <c r="AL22">
        <v>1977</v>
      </c>
      <c r="AM22" s="22">
        <f t="shared" si="15"/>
        <v>2.7205359611869047E-2</v>
      </c>
      <c r="AN22" s="22">
        <f t="shared" si="16"/>
        <v>2.3031585565006608E-2</v>
      </c>
      <c r="AO22" s="22">
        <f t="shared" si="17"/>
        <v>6.4989035406103762E-3</v>
      </c>
      <c r="AP22" s="23">
        <f t="shared" si="21"/>
        <v>1.3079795790197662E-2</v>
      </c>
      <c r="AQ22" s="24">
        <f t="shared" si="18"/>
        <v>-3.5710008031951393E-3</v>
      </c>
      <c r="AR22" s="24">
        <f t="shared" si="19"/>
        <v>-5.9570404733767512E-3</v>
      </c>
      <c r="AS22" s="24">
        <f t="shared" si="23"/>
        <v>4.2185059812133448E-2</v>
      </c>
      <c r="AT22" s="24">
        <f t="shared" si="24"/>
        <v>3.715862597212214E-2</v>
      </c>
    </row>
    <row r="23" spans="1:46" x14ac:dyDescent="0.25">
      <c r="A23">
        <v>1978</v>
      </c>
      <c r="B23">
        <f>Data!C20</f>
        <v>197745.99</v>
      </c>
      <c r="C23">
        <f>Data!S20</f>
        <v>31555279.949999999</v>
      </c>
      <c r="D23">
        <f t="shared" si="29"/>
        <v>1.0213835804393587</v>
      </c>
      <c r="E23">
        <f t="shared" si="20"/>
        <v>1.0677966101694916</v>
      </c>
      <c r="F23">
        <f t="shared" si="20"/>
        <v>1.0765</v>
      </c>
      <c r="G23" s="3">
        <f>Data!O20</f>
        <v>4.2930000000000001</v>
      </c>
      <c r="H23" s="3">
        <f t="shared" si="25"/>
        <v>1502.7123841970972</v>
      </c>
      <c r="I23" s="15">
        <f>Data!Q20</f>
        <v>6.3E-3</v>
      </c>
      <c r="J23" s="3">
        <f>Data!R20</f>
        <v>2.2052382996603104</v>
      </c>
      <c r="L23">
        <f>Data!I20*0.01*Data!C20</f>
        <v>17912</v>
      </c>
      <c r="M23" s="3">
        <f>Data!H20*0.01*Data!C20/Data!O20</f>
        <v>7264.8497554157939</v>
      </c>
      <c r="N23">
        <f>Data!P20</f>
        <v>22373</v>
      </c>
      <c r="O23">
        <f>1+Data!M20*0.01*Data!C20/Calculations!L22</f>
        <v>1.0626382743362832</v>
      </c>
      <c r="P23">
        <f>1+Data!L20*0.01*Data!C20/Data!O20/Calculations!M22</f>
        <v>1.0800946932333795</v>
      </c>
      <c r="Q23">
        <f>Data!F20*0.01*Data!C20</f>
        <v>6976.0000000000009</v>
      </c>
      <c r="S23" s="6">
        <f t="shared" si="0"/>
        <v>17912</v>
      </c>
      <c r="T23" s="13">
        <f t="shared" si="31"/>
        <v>1502.7123841970972</v>
      </c>
      <c r="U23" s="6">
        <f t="shared" si="30"/>
        <v>7264.8497554157939</v>
      </c>
      <c r="V23" s="11">
        <f t="shared" si="3"/>
        <v>22373</v>
      </c>
      <c r="W23" s="6">
        <f t="shared" si="32"/>
        <v>6976.0000000000009</v>
      </c>
      <c r="X23" s="6">
        <f t="shared" si="8"/>
        <v>15369.999999999998</v>
      </c>
      <c r="Y23" s="6">
        <f t="shared" si="26"/>
        <v>5101.3277428371775</v>
      </c>
      <c r="AA23">
        <v>1978</v>
      </c>
      <c r="AB23" s="13">
        <f t="shared" si="5"/>
        <v>9.0580850716618838E-2</v>
      </c>
      <c r="AC23" s="13">
        <f t="shared" si="9"/>
        <v>1502.7123841970972</v>
      </c>
      <c r="AD23" s="13">
        <f t="shared" si="33"/>
        <v>1.0439965730368353E-4</v>
      </c>
      <c r="AE23" s="13">
        <f t="shared" si="6"/>
        <v>0.11314009452227072</v>
      </c>
      <c r="AF23" s="14">
        <f t="shared" si="10"/>
        <v>-0.10075407533014141</v>
      </c>
      <c r="AG23" s="15">
        <f t="shared" si="11"/>
        <v>7.7725975631667665E-2</v>
      </c>
      <c r="AH23" s="15">
        <f t="shared" si="12"/>
        <v>7.39062486324865E-5</v>
      </c>
      <c r="AI23" s="15">
        <f t="shared" si="13"/>
        <v>3.527758009151033E-2</v>
      </c>
      <c r="AJ23" s="15">
        <f t="shared" si="14"/>
        <v>0.19150195825452418</v>
      </c>
      <c r="AL23">
        <v>1978</v>
      </c>
      <c r="AM23" s="22">
        <f t="shared" si="15"/>
        <v>1.1163343867380493E-2</v>
      </c>
      <c r="AN23" s="22">
        <f t="shared" si="16"/>
        <v>4.4739546448528893E-2</v>
      </c>
      <c r="AO23" s="22">
        <f t="shared" si="17"/>
        <v>3.2546849140152601E-3</v>
      </c>
      <c r="AP23" s="23">
        <f t="shared" si="21"/>
        <v>9.1313342781140505E-3</v>
      </c>
      <c r="AQ23" s="24">
        <f t="shared" si="18"/>
        <v>-2.0382964447875646E-3</v>
      </c>
      <c r="AR23" s="24">
        <f t="shared" si="19"/>
        <v>-1.981183540929337E-3</v>
      </c>
      <c r="AS23" s="24">
        <f t="shared" si="23"/>
        <v>3.527758009151033E-2</v>
      </c>
      <c r="AT23" s="24">
        <f t="shared" si="24"/>
        <v>3.7030809402245277E-2</v>
      </c>
    </row>
    <row r="24" spans="1:46" x14ac:dyDescent="0.25">
      <c r="A24">
        <v>1979</v>
      </c>
      <c r="B24">
        <f>Data!C21</f>
        <v>242985.68</v>
      </c>
      <c r="C24">
        <f>Data!S21</f>
        <v>31976700.100000001</v>
      </c>
      <c r="D24">
        <f t="shared" si="29"/>
        <v>1.0133549805505688</v>
      </c>
      <c r="E24">
        <f t="shared" si="20"/>
        <v>1.2063492063492063</v>
      </c>
      <c r="F24">
        <f t="shared" si="20"/>
        <v>1.1127</v>
      </c>
      <c r="G24" s="3">
        <f>Data!O21</f>
        <v>4.2930000000000001</v>
      </c>
      <c r="H24" s="3">
        <f t="shared" si="25"/>
        <v>1386.0564263612491</v>
      </c>
      <c r="I24" s="15">
        <f>Data!Q21</f>
        <v>7.6E-3</v>
      </c>
      <c r="J24" s="3">
        <f>Data!R21</f>
        <v>2.4537686560320275</v>
      </c>
      <c r="L24">
        <f>Data!I21*0.01*Data!C21</f>
        <v>19206.43</v>
      </c>
      <c r="M24" s="3">
        <f>Data!H21*0.01*Data!C21/Data!O21</f>
        <v>8228.9005357558835</v>
      </c>
      <c r="N24">
        <f>Data!P21</f>
        <v>25288</v>
      </c>
      <c r="O24">
        <f>1+Data!M21*0.01*Data!C21/Calculations!L23</f>
        <v>1.048124162572577</v>
      </c>
      <c r="P24">
        <f>1+Data!L21*0.01*Data!C21/Data!O21/Calculations!M23</f>
        <v>1.0748044119533153</v>
      </c>
      <c r="Q24">
        <f>Data!F21*0.01*Data!C21</f>
        <v>-6400</v>
      </c>
      <c r="S24" s="6">
        <f t="shared" si="0"/>
        <v>19206.43</v>
      </c>
      <c r="T24" s="13">
        <f t="shared" si="31"/>
        <v>1386.0564263612491</v>
      </c>
      <c r="U24" s="6">
        <f t="shared" si="30"/>
        <v>8228.9005357558835</v>
      </c>
      <c r="V24" s="11">
        <f t="shared" si="3"/>
        <v>25288</v>
      </c>
      <c r="W24" s="6">
        <f t="shared" si="32"/>
        <v>-6400</v>
      </c>
      <c r="X24" s="6">
        <f t="shared" si="8"/>
        <v>18774</v>
      </c>
      <c r="Y24" s="6">
        <f t="shared" si="26"/>
        <v>7808.2925692988592</v>
      </c>
      <c r="AA24">
        <v>1979</v>
      </c>
      <c r="AB24" s="13">
        <f t="shared" si="5"/>
        <v>7.9043464618984954E-2</v>
      </c>
      <c r="AC24" s="13">
        <f t="shared" si="9"/>
        <v>1386.0564263612491</v>
      </c>
      <c r="AD24" s="13">
        <f t="shared" si="33"/>
        <v>1.0487562320494712E-4</v>
      </c>
      <c r="AE24" s="13">
        <f t="shared" si="6"/>
        <v>0.10407197658726226</v>
      </c>
      <c r="AF24" s="14">
        <f t="shared" si="10"/>
        <v>-9.2551164613795728E-2</v>
      </c>
      <c r="AG24" s="15">
        <f t="shared" si="11"/>
        <v>7.726381241890469E-2</v>
      </c>
      <c r="AH24" s="15">
        <f t="shared" si="12"/>
        <v>9.1789681813766251E-5</v>
      </c>
      <c r="AI24" s="15">
        <f t="shared" si="13"/>
        <v>-2.6339000718067006E-2</v>
      </c>
      <c r="AJ24" s="15">
        <f t="shared" si="14"/>
        <v>0.22475488006059643</v>
      </c>
      <c r="AL24">
        <v>1979</v>
      </c>
      <c r="AM24" s="22">
        <f t="shared" si="15"/>
        <v>-1.1537386097633884E-2</v>
      </c>
      <c r="AN24" s="22">
        <f t="shared" si="16"/>
        <v>6.5971559617522611E-4</v>
      </c>
      <c r="AO24" s="22">
        <f t="shared" si="17"/>
        <v>-9.0681179350084601E-3</v>
      </c>
      <c r="AP24" s="23">
        <f t="shared" si="21"/>
        <v>2.0588929908474995E-2</v>
      </c>
      <c r="AQ24" s="24">
        <f t="shared" si="18"/>
        <v>-1.291779415471829E-2</v>
      </c>
      <c r="AR24" s="24">
        <f t="shared" si="19"/>
        <v>-6.7703243126250529E-3</v>
      </c>
      <c r="AS24" s="24">
        <f t="shared" si="23"/>
        <v>-2.6339000718067006E-2</v>
      </c>
      <c r="AT24" s="24">
        <f t="shared" si="24"/>
        <v>4.6670260657418222E-2</v>
      </c>
    </row>
    <row r="25" spans="1:46" x14ac:dyDescent="0.25">
      <c r="A25">
        <v>1980</v>
      </c>
      <c r="B25">
        <f>Data!C22</f>
        <v>297333.65999999997</v>
      </c>
      <c r="C25">
        <f>Data!S22</f>
        <v>31340851.460000001</v>
      </c>
      <c r="D25">
        <f t="shared" si="29"/>
        <v>0.98011525147962342</v>
      </c>
      <c r="E25">
        <f t="shared" si="20"/>
        <v>1.25</v>
      </c>
      <c r="F25">
        <f t="shared" si="20"/>
        <v>1.1351</v>
      </c>
      <c r="G25" s="3">
        <f>Data!O22</f>
        <v>4.2930000000000001</v>
      </c>
      <c r="H25" s="3">
        <f t="shared" si="25"/>
        <v>1258.6501196501233</v>
      </c>
      <c r="I25" s="15">
        <f>Data!Q22</f>
        <v>9.4999999999999998E-3</v>
      </c>
      <c r="J25" s="3">
        <f>Data!R22</f>
        <v>2.7852728014619546</v>
      </c>
      <c r="L25">
        <f>Data!I22*0.01*Data!C22</f>
        <v>19236.560000000001</v>
      </c>
      <c r="M25" s="3">
        <f>Data!H22*0.01*Data!C22/Data!O22</f>
        <v>9670.7733519683188</v>
      </c>
      <c r="N25">
        <f>Data!P22</f>
        <v>27214</v>
      </c>
      <c r="O25">
        <f>1+Data!M22*0.01*Data!C22/Calculations!L24</f>
        <v>1.0682755722953199</v>
      </c>
      <c r="P25">
        <f>1+Data!L22*0.01*Data!C22/Data!O22/Calculations!M24</f>
        <v>1.1065806655424923</v>
      </c>
      <c r="Q25">
        <f>Data!F22*0.01*Data!C22</f>
        <v>-4706.4700000000012</v>
      </c>
      <c r="S25" s="6">
        <f t="shared" si="0"/>
        <v>19236.560000000001</v>
      </c>
      <c r="T25" s="13">
        <f t="shared" si="31"/>
        <v>1258.6501196501233</v>
      </c>
      <c r="U25" s="6">
        <f t="shared" si="30"/>
        <v>9670.7733519683188</v>
      </c>
      <c r="V25" s="11">
        <f t="shared" si="3"/>
        <v>27214</v>
      </c>
      <c r="W25" s="6">
        <f t="shared" si="32"/>
        <v>-4706.4700000000012</v>
      </c>
      <c r="X25" s="6">
        <f t="shared" si="8"/>
        <v>20517.760000000002</v>
      </c>
      <c r="Y25" s="6">
        <f t="shared" si="26"/>
        <v>9105.9422315397169</v>
      </c>
      <c r="AA25">
        <v>1980</v>
      </c>
      <c r="AB25" s="13">
        <f t="shared" si="5"/>
        <v>6.4696879593114362E-2</v>
      </c>
      <c r="AC25" s="13">
        <f t="shared" si="9"/>
        <v>1258.6501196501233</v>
      </c>
      <c r="AD25" s="13">
        <f t="shared" si="33"/>
        <v>1.1078543716409165E-4</v>
      </c>
      <c r="AE25" s="13">
        <f t="shared" si="6"/>
        <v>9.1526805273240849E-2</v>
      </c>
      <c r="AF25" s="14">
        <f t="shared" si="10"/>
        <v>-8.4946725544899584E-2</v>
      </c>
      <c r="AG25" s="15">
        <f t="shared" si="11"/>
        <v>6.9005843468916375E-2</v>
      </c>
      <c r="AH25" s="15">
        <f t="shared" si="12"/>
        <v>9.4726277751613403E-5</v>
      </c>
      <c r="AI25" s="15">
        <f t="shared" si="13"/>
        <v>-1.5828917587063642E-2</v>
      </c>
      <c r="AJ25" s="15">
        <f t="shared" si="14"/>
        <v>0.18800954368881453</v>
      </c>
      <c r="AL25">
        <v>1980</v>
      </c>
      <c r="AM25" s="22">
        <f t="shared" si="15"/>
        <v>-1.4346585025870592E-2</v>
      </c>
      <c r="AN25" s="22">
        <f t="shared" si="16"/>
        <v>7.4383880467872258E-3</v>
      </c>
      <c r="AO25" s="22">
        <f t="shared" si="17"/>
        <v>-1.2545171314021414E-2</v>
      </c>
      <c r="AP25" s="23">
        <f t="shared" si="21"/>
        <v>1.9125251042362679E-2</v>
      </c>
      <c r="AQ25" s="24">
        <f t="shared" si="18"/>
        <v>-1.0120792698860032E-2</v>
      </c>
      <c r="AR25" s="24">
        <f t="shared" si="19"/>
        <v>-7.0574967238355485E-4</v>
      </c>
      <c r="AS25" s="24">
        <f t="shared" si="23"/>
        <v>-1.5828917587063642E-2</v>
      </c>
      <c r="AT25" s="24">
        <f t="shared" si="24"/>
        <v>2.6327342707565128E-2</v>
      </c>
    </row>
    <row r="26" spans="1:46" x14ac:dyDescent="0.25">
      <c r="A26">
        <v>1981</v>
      </c>
      <c r="B26">
        <f>Data!C23</f>
        <v>333601.90000000002</v>
      </c>
      <c r="C26">
        <f>Data!S23</f>
        <v>31246238.5</v>
      </c>
      <c r="D26">
        <f t="shared" si="29"/>
        <v>0.99698116178749152</v>
      </c>
      <c r="E26">
        <f t="shared" si="20"/>
        <v>1.1263157894736842</v>
      </c>
      <c r="F26">
        <f t="shared" si="20"/>
        <v>1.1032</v>
      </c>
      <c r="G26" s="3">
        <f>Data!O23</f>
        <v>4.2930000000000001</v>
      </c>
      <c r="H26" s="3">
        <f t="shared" si="25"/>
        <v>1232.8183844842197</v>
      </c>
      <c r="I26" s="15">
        <f>Data!Q23</f>
        <v>1.0699999999999999E-2</v>
      </c>
      <c r="J26" s="3">
        <f>Data!R23</f>
        <v>3.072712954572828</v>
      </c>
      <c r="L26">
        <f>Data!I23*0.01*Data!C23</f>
        <v>25810.27</v>
      </c>
      <c r="M26" s="3">
        <f>Data!H23*0.01*Data!C23/Data!O23</f>
        <v>9530.1048218029355</v>
      </c>
      <c r="N26">
        <f>Data!P23</f>
        <v>31623</v>
      </c>
      <c r="O26">
        <f>1+Data!M23*0.01*Data!C23/Calculations!L25</f>
        <v>1.0469813729689716</v>
      </c>
      <c r="P26">
        <f>1+Data!L23*0.01*Data!C23/Data!O23/Calculations!M25</f>
        <v>1.1303858237048625</v>
      </c>
      <c r="Q26">
        <f>Data!F23*0.01*Data!C23</f>
        <v>-12344.940000000004</v>
      </c>
      <c r="S26" s="6">
        <f t="shared" si="0"/>
        <v>25810.27</v>
      </c>
      <c r="T26" s="13">
        <f t="shared" si="31"/>
        <v>1232.8183844842197</v>
      </c>
      <c r="U26" s="6">
        <f t="shared" si="30"/>
        <v>9530.1048218029355</v>
      </c>
      <c r="V26" s="11">
        <f t="shared" si="3"/>
        <v>31623</v>
      </c>
      <c r="W26" s="6">
        <f t="shared" si="32"/>
        <v>-12344.940000000004</v>
      </c>
      <c r="X26" s="6">
        <f t="shared" si="8"/>
        <v>20140.320000000003</v>
      </c>
      <c r="Y26" s="6">
        <f t="shared" si="26"/>
        <v>10931.705101327743</v>
      </c>
      <c r="AA26">
        <v>1981</v>
      </c>
      <c r="AB26" s="13">
        <f t="shared" si="5"/>
        <v>7.7368474220320685E-2</v>
      </c>
      <c r="AC26" s="13">
        <f t="shared" si="9"/>
        <v>1232.8183844842197</v>
      </c>
      <c r="AD26" s="13">
        <f t="shared" si="33"/>
        <v>9.9260839217604489E-5</v>
      </c>
      <c r="AE26" s="13">
        <f t="shared" si="6"/>
        <v>9.4792625581568923E-2</v>
      </c>
      <c r="AF26" s="14">
        <f t="shared" si="10"/>
        <v>-8.1508176830229054E-2</v>
      </c>
      <c r="AG26" s="15">
        <f t="shared" si="11"/>
        <v>6.0372318023368579E-2</v>
      </c>
      <c r="AH26" s="15">
        <f t="shared" si="12"/>
        <v>1.115224375990483E-4</v>
      </c>
      <c r="AI26" s="15">
        <f t="shared" si="13"/>
        <v>-3.700500506741719E-2</v>
      </c>
      <c r="AJ26" s="15">
        <f t="shared" si="14"/>
        <v>0.23028970207778585</v>
      </c>
      <c r="AL26">
        <v>1981</v>
      </c>
      <c r="AM26" s="22">
        <f t="shared" si="15"/>
        <v>1.2671594627206323E-2</v>
      </c>
      <c r="AN26" s="22">
        <f t="shared" si="16"/>
        <v>-1.4207736222218454E-2</v>
      </c>
      <c r="AO26" s="22">
        <f t="shared" si="17"/>
        <v>3.265820308328074E-3</v>
      </c>
      <c r="AP26" s="23">
        <f t="shared" si="21"/>
        <v>1.0018628443011796E-2</v>
      </c>
      <c r="AQ26" s="24">
        <f t="shared" si="18"/>
        <v>-4.3749583769241941E-3</v>
      </c>
      <c r="AR26" s="24">
        <f t="shared" si="19"/>
        <v>3.7894057587020765E-3</v>
      </c>
      <c r="AS26" s="24">
        <f t="shared" si="23"/>
        <v>-3.700500506741719E-2</v>
      </c>
      <c r="AT26" s="24">
        <f t="shared" si="24"/>
        <v>4.9338864841967048E-2</v>
      </c>
    </row>
    <row r="27" spans="1:46" x14ac:dyDescent="0.25">
      <c r="A27">
        <v>1982</v>
      </c>
      <c r="B27">
        <f>Data!C24</f>
        <v>340690.16</v>
      </c>
      <c r="C27">
        <f>Data!S24</f>
        <v>31459427.52</v>
      </c>
      <c r="D27">
        <f t="shared" si="29"/>
        <v>1.0068228698952035</v>
      </c>
      <c r="E27">
        <f t="shared" si="20"/>
        <v>1.0093457943925235</v>
      </c>
      <c r="F27">
        <f t="shared" si="20"/>
        <v>1.0616000000000001</v>
      </c>
      <c r="G27" s="3">
        <f>Data!O24</f>
        <v>4.2930000000000001</v>
      </c>
      <c r="H27" s="3">
        <f t="shared" si="25"/>
        <v>1296.6418488483696</v>
      </c>
      <c r="I27" s="15">
        <f>Data!Q24</f>
        <v>1.0800000000000001E-2</v>
      </c>
      <c r="J27" s="3">
        <f>Data!R24</f>
        <v>3.2619920725745146</v>
      </c>
      <c r="L27">
        <f>Data!I24*0.01*Data!C24</f>
        <v>30506.82</v>
      </c>
      <c r="M27" s="3">
        <f>Data!H24*0.01*Data!C24/Data!O24</f>
        <v>12277.01607267645</v>
      </c>
      <c r="N27">
        <f>Data!P24</f>
        <v>28372</v>
      </c>
      <c r="O27">
        <f>1+Data!M24*0.01*Data!C24/Calculations!L26</f>
        <v>1.0750801909472469</v>
      </c>
      <c r="P27">
        <f>1+Data!L24*0.01*Data!C24/Data!O24/Calculations!M26</f>
        <v>1.1385866602921242</v>
      </c>
      <c r="Q27">
        <f>Data!F24*0.01*Data!C24</f>
        <v>6010.1999999999971</v>
      </c>
      <c r="S27" s="6">
        <f t="shared" si="0"/>
        <v>30506.82</v>
      </c>
      <c r="T27" s="13">
        <f t="shared" si="31"/>
        <v>1296.6418488483696</v>
      </c>
      <c r="U27" s="6">
        <f t="shared" si="30"/>
        <v>12277.01607267645</v>
      </c>
      <c r="V27" s="11">
        <f t="shared" si="3"/>
        <v>28372</v>
      </c>
      <c r="W27" s="6">
        <f t="shared" si="32"/>
        <v>6010.1999999999971</v>
      </c>
      <c r="X27" s="6">
        <f t="shared" ref="X27:X61" si="34">+S26*O27</f>
        <v>27748.11</v>
      </c>
      <c r="Y27" s="6">
        <f t="shared" si="26"/>
        <v>10850.850221290473</v>
      </c>
      <c r="AA27">
        <v>1982</v>
      </c>
      <c r="AB27" s="13">
        <f t="shared" si="5"/>
        <v>8.9544177031705294E-2</v>
      </c>
      <c r="AC27" s="13">
        <f t="shared" si="9"/>
        <v>1296.6418488483696</v>
      </c>
      <c r="AD27" s="13">
        <f t="shared" si="33"/>
        <v>1.1963523522105702E-4</v>
      </c>
      <c r="AE27" s="13">
        <f t="shared" si="6"/>
        <v>8.327801425201127E-2</v>
      </c>
      <c r="AF27" s="14">
        <f t="shared" si="10"/>
        <v>-9.3278489090358602E-2</v>
      </c>
      <c r="AG27" s="15">
        <f t="shared" si="11"/>
        <v>8.1446760892653902E-2</v>
      </c>
      <c r="AH27" s="15">
        <f t="shared" si="12"/>
        <v>1.1121182925277978E-4</v>
      </c>
      <c r="AI27" s="15">
        <f t="shared" si="13"/>
        <v>1.764124916316925E-2</v>
      </c>
      <c r="AJ27" s="15">
        <f t="shared" si="14"/>
        <v>0.1670210937242203</v>
      </c>
      <c r="AL27">
        <v>1982</v>
      </c>
      <c r="AM27" s="22">
        <f t="shared" si="15"/>
        <v>1.2175702811384609E-2</v>
      </c>
      <c r="AN27" s="22">
        <f t="shared" si="16"/>
        <v>2.641829450308552E-2</v>
      </c>
      <c r="AO27" s="22">
        <f t="shared" si="17"/>
        <v>-1.1514611329557653E-2</v>
      </c>
      <c r="AP27" s="23">
        <f t="shared" si="21"/>
        <v>1.5141364912103217E-3</v>
      </c>
      <c r="AQ27" s="24">
        <f t="shared" si="18"/>
        <v>4.4802363989459955E-3</v>
      </c>
      <c r="AR27" s="24">
        <f t="shared" si="19"/>
        <v>8.3982295935914279E-3</v>
      </c>
      <c r="AS27" s="24">
        <f t="shared" si="23"/>
        <v>1.764124916316925E-2</v>
      </c>
      <c r="AT27" s="24">
        <f t="shared" si="24"/>
        <v>-1.9261926795838755E-3</v>
      </c>
    </row>
    <row r="28" spans="1:46" x14ac:dyDescent="0.25">
      <c r="A28">
        <v>1983</v>
      </c>
      <c r="B28">
        <f>Data!C25</f>
        <v>339782.49</v>
      </c>
      <c r="C28">
        <f>Data!S25</f>
        <v>29692354.98</v>
      </c>
      <c r="D28">
        <f t="shared" si="29"/>
        <v>0.94383011137514816</v>
      </c>
      <c r="E28">
        <f t="shared" si="20"/>
        <v>1.0555555555555556</v>
      </c>
      <c r="F28">
        <f t="shared" si="20"/>
        <v>1.0321</v>
      </c>
      <c r="G28" s="3">
        <f>Data!O25</f>
        <v>4.3</v>
      </c>
      <c r="H28" s="3">
        <f t="shared" si="25"/>
        <v>1269.8963752498132</v>
      </c>
      <c r="I28" s="15">
        <f>Data!Q25</f>
        <v>1.14E-2</v>
      </c>
      <c r="J28" s="3">
        <f>Data!R25</f>
        <v>3.3667020181041565</v>
      </c>
      <c r="L28">
        <f>Data!I25*0.01*Data!C25</f>
        <v>34721</v>
      </c>
      <c r="M28" s="3">
        <f>Data!H25*0.01*Data!C25/Data!O25</f>
        <v>14976.280000000002</v>
      </c>
      <c r="N28">
        <f>Data!P25</f>
        <v>39591</v>
      </c>
      <c r="O28">
        <f>1+Data!M25*0.01*Data!C25/Calculations!L27</f>
        <v>1.0804662695095719</v>
      </c>
      <c r="P28">
        <f>1+Data!L25*0.01*Data!C25/Data!O25/Calculations!M27</f>
        <v>1.0835300026820505</v>
      </c>
      <c r="Q28">
        <f>Data!F25*0.01*Data!C25</f>
        <v>-498.33999999999651</v>
      </c>
      <c r="S28" s="6">
        <f t="shared" si="0"/>
        <v>34721</v>
      </c>
      <c r="T28" s="13">
        <f t="shared" si="31"/>
        <v>1269.8963752498132</v>
      </c>
      <c r="U28" s="6">
        <f t="shared" si="30"/>
        <v>14976.280000000002</v>
      </c>
      <c r="V28" s="11">
        <f t="shared" si="3"/>
        <v>39591</v>
      </c>
      <c r="W28" s="6">
        <f t="shared" si="32"/>
        <v>-498.33999999999651</v>
      </c>
      <c r="X28" s="6">
        <f t="shared" si="34"/>
        <v>32961.589999999997</v>
      </c>
      <c r="Y28" s="6">
        <f t="shared" si="26"/>
        <v>13302.51525815469</v>
      </c>
      <c r="AA28">
        <v>1983</v>
      </c>
      <c r="AB28" s="13">
        <f t="shared" si="5"/>
        <v>0.10218596020059774</v>
      </c>
      <c r="AC28" s="13">
        <f t="shared" si="9"/>
        <v>1269.8963752498132</v>
      </c>
      <c r="AD28" s="13">
        <f t="shared" si="33"/>
        <v>1.4981476859573454E-4</v>
      </c>
      <c r="AE28" s="13">
        <f t="shared" si="6"/>
        <v>0.11651865874548156</v>
      </c>
      <c r="AF28" s="14">
        <f t="shared" si="10"/>
        <v>-8.3590213873742103E-2</v>
      </c>
      <c r="AG28" s="15">
        <f t="shared" si="11"/>
        <v>9.7007912326500398E-2</v>
      </c>
      <c r="AH28" s="15">
        <f t="shared" si="12"/>
        <v>1.3032648785899243E-4</v>
      </c>
      <c r="AI28" s="15">
        <f t="shared" si="13"/>
        <v>-1.4666441463772795E-3</v>
      </c>
      <c r="AJ28" s="15">
        <f t="shared" si="14"/>
        <v>0.20677305292043505</v>
      </c>
      <c r="AL28">
        <v>1983</v>
      </c>
      <c r="AM28" s="22">
        <f t="shared" si="15"/>
        <v>1.2641783168892445E-2</v>
      </c>
      <c r="AN28" s="22">
        <f t="shared" si="16"/>
        <v>3.8324880039233754E-2</v>
      </c>
      <c r="AO28" s="22">
        <f t="shared" si="17"/>
        <v>3.3240644493470292E-2</v>
      </c>
      <c r="AP28" s="23">
        <f t="shared" si="21"/>
        <v>-3.121996217308326E-4</v>
      </c>
      <c r="AQ28" s="24">
        <f t="shared" si="18"/>
        <v>7.5679884031811832E-3</v>
      </c>
      <c r="AR28" s="24">
        <f t="shared" si="19"/>
        <v>1.7062426612019427E-2</v>
      </c>
      <c r="AS28" s="24">
        <f t="shared" si="23"/>
        <v>-1.4666441463772795E-3</v>
      </c>
      <c r="AT28" s="24">
        <f t="shared" si="24"/>
        <v>6.0731337211042319E-2</v>
      </c>
    </row>
    <row r="29" spans="1:46" x14ac:dyDescent="0.25">
      <c r="A29">
        <v>1984</v>
      </c>
      <c r="B29">
        <f>Data!C26</f>
        <v>406498.66</v>
      </c>
      <c r="C29">
        <f>Data!S26</f>
        <v>29290353.210000001</v>
      </c>
      <c r="D29">
        <f t="shared" si="29"/>
        <v>0.98646110184689706</v>
      </c>
      <c r="E29">
        <f t="shared" si="20"/>
        <v>1.2192982456140349</v>
      </c>
      <c r="F29">
        <f t="shared" si="20"/>
        <v>1.0431999999999999</v>
      </c>
      <c r="G29" s="3">
        <f>Data!O26</f>
        <v>7.5</v>
      </c>
      <c r="H29" s="3">
        <f t="shared" si="25"/>
        <v>1895.0414812695626</v>
      </c>
      <c r="I29" s="15">
        <f>Data!Q26</f>
        <v>1.3899999999999999E-2</v>
      </c>
      <c r="J29" s="3">
        <f>Data!R26</f>
        <v>3.5121435452862557</v>
      </c>
      <c r="L29">
        <f>Data!I26*0.01*Data!C26</f>
        <v>42443.79</v>
      </c>
      <c r="M29" s="3">
        <f>Data!H26*0.01*Data!C26/Data!O26</f>
        <v>18965.779999999995</v>
      </c>
      <c r="N29">
        <f>Data!P26</f>
        <v>38128</v>
      </c>
      <c r="O29">
        <f>1+Data!M26*0.01*Data!C26/Calculations!L28</f>
        <v>1.0941793151118919</v>
      </c>
      <c r="P29">
        <f>1+Data!L26*0.01*Data!C26/Data!O26/Calculations!M28</f>
        <v>1.1104306725469963</v>
      </c>
      <c r="Q29">
        <f>Data!F26*0.01*Data!C26</f>
        <v>-16626</v>
      </c>
      <c r="S29" s="6">
        <f t="shared" si="0"/>
        <v>42443.79</v>
      </c>
      <c r="T29" s="13">
        <f t="shared" si="31"/>
        <v>1895.0414812695626</v>
      </c>
      <c r="U29" s="6">
        <f t="shared" si="30"/>
        <v>18965.779999999995</v>
      </c>
      <c r="V29" s="11">
        <f t="shared" si="3"/>
        <v>38128</v>
      </c>
      <c r="W29" s="6">
        <f t="shared" si="32"/>
        <v>-16626</v>
      </c>
      <c r="X29" s="6">
        <f t="shared" si="34"/>
        <v>37991</v>
      </c>
      <c r="Y29" s="6">
        <f t="shared" si="26"/>
        <v>16630.120672652134</v>
      </c>
      <c r="AA29">
        <v>1984</v>
      </c>
      <c r="AB29" s="13">
        <f t="shared" si="5"/>
        <v>0.10441311171849867</v>
      </c>
      <c r="AC29" s="13">
        <f t="shared" si="9"/>
        <v>1895.0414812695626</v>
      </c>
      <c r="AD29" s="13">
        <f t="shared" si="33"/>
        <v>1.8436303205497271E-4</v>
      </c>
      <c r="AE29" s="13">
        <f t="shared" si="6"/>
        <v>9.3796127150825054E-2</v>
      </c>
      <c r="AF29" s="14">
        <f t="shared" si="10"/>
        <v>-9.6873627624058281E-2</v>
      </c>
      <c r="AG29" s="15">
        <f t="shared" si="11"/>
        <v>9.3459102669612742E-2</v>
      </c>
      <c r="AH29" s="15">
        <f t="shared" si="12"/>
        <v>2.4123980643514219E-4</v>
      </c>
      <c r="AI29" s="15">
        <f t="shared" si="13"/>
        <v>-4.0900503829459117E-2</v>
      </c>
      <c r="AJ29" s="15">
        <f t="shared" si="14"/>
        <v>0.24246739087884819</v>
      </c>
      <c r="AL29">
        <v>1984</v>
      </c>
      <c r="AM29" s="22">
        <f t="shared" si="15"/>
        <v>2.2271515179009271E-3</v>
      </c>
      <c r="AN29" s="22">
        <f t="shared" si="16"/>
        <v>6.5470392361085802E-2</v>
      </c>
      <c r="AO29" s="22">
        <f t="shared" si="17"/>
        <v>-2.2722531594656509E-2</v>
      </c>
      <c r="AP29" s="23">
        <f t="shared" si="21"/>
        <v>1.9645031121423281E-2</v>
      </c>
      <c r="AQ29" s="24">
        <f t="shared" si="18"/>
        <v>-9.2273083083596608E-3</v>
      </c>
      <c r="AR29" s="24">
        <f t="shared" si="19"/>
        <v>2.2444354762236076E-2</v>
      </c>
      <c r="AS29" s="24">
        <f t="shared" si="23"/>
        <v>-4.0900503829459117E-2</v>
      </c>
      <c r="AT29" s="24">
        <f t="shared" si="24"/>
        <v>9.2303500781336201E-2</v>
      </c>
    </row>
    <row r="30" spans="1:46" x14ac:dyDescent="0.25">
      <c r="A30">
        <v>1985</v>
      </c>
      <c r="B30">
        <f>Data!C27</f>
        <v>449724.32</v>
      </c>
      <c r="C30">
        <f>Data!S27</f>
        <v>29346971.52</v>
      </c>
      <c r="D30">
        <f t="shared" si="29"/>
        <v>1.0019330019544002</v>
      </c>
      <c r="E30">
        <f t="shared" si="20"/>
        <v>1.1007194244604317</v>
      </c>
      <c r="F30">
        <f t="shared" si="20"/>
        <v>1.0356000000000001</v>
      </c>
      <c r="G30" s="3">
        <f>Data!O27</f>
        <v>7.5</v>
      </c>
      <c r="H30" s="3">
        <f t="shared" si="25"/>
        <v>1782.9293409306113</v>
      </c>
      <c r="I30" s="15">
        <f>Data!Q27</f>
        <v>1.5299999999999999E-2</v>
      </c>
      <c r="J30" s="3">
        <f>Data!R27</f>
        <v>3.6371758554984468</v>
      </c>
      <c r="L30">
        <f>Data!I27*0.01*Data!C27</f>
        <v>58143.45</v>
      </c>
      <c r="M30" s="3">
        <f>Data!H27*0.01*Data!C27/Data!O27</f>
        <v>17915.38</v>
      </c>
      <c r="N30">
        <f>Data!P27</f>
        <v>46300</v>
      </c>
      <c r="O30">
        <f>1+Data!M27*0.01*Data!C27/Calculations!L29</f>
        <v>1.0824568211274253</v>
      </c>
      <c r="P30">
        <f>1+Data!L27*0.01*Data!C27/Data!O27/Calculations!M29</f>
        <v>1.07691340227856</v>
      </c>
      <c r="Q30">
        <f>Data!F27*0.01*Data!C27</f>
        <v>-17661.199999999997</v>
      </c>
      <c r="S30" s="6">
        <f t="shared" si="0"/>
        <v>58143.45</v>
      </c>
      <c r="T30" s="13">
        <f t="shared" si="31"/>
        <v>1782.9293409306113</v>
      </c>
      <c r="U30" s="6">
        <f t="shared" si="30"/>
        <v>17915.38</v>
      </c>
      <c r="V30" s="11">
        <f t="shared" si="3"/>
        <v>46300</v>
      </c>
      <c r="W30" s="6">
        <f t="shared" si="32"/>
        <v>-17661.199999999997</v>
      </c>
      <c r="X30" s="6">
        <f t="shared" si="34"/>
        <v>45943.57</v>
      </c>
      <c r="Y30" s="6">
        <f t="shared" si="26"/>
        <v>20424.502666666664</v>
      </c>
      <c r="AA30">
        <v>1985</v>
      </c>
      <c r="AB30" s="13">
        <f t="shared" si="5"/>
        <v>0.12928687067668476</v>
      </c>
      <c r="AC30" s="13">
        <f t="shared" si="9"/>
        <v>1782.9293409306113</v>
      </c>
      <c r="AD30" s="13">
        <f t="shared" si="33"/>
        <v>1.6784114527080212E-4</v>
      </c>
      <c r="AE30" s="13">
        <f t="shared" si="6"/>
        <v>0.10295195954712878</v>
      </c>
      <c r="AF30" s="14">
        <f t="shared" si="10"/>
        <v>-8.5049074965105748E-2</v>
      </c>
      <c r="AG30" s="15">
        <f t="shared" si="11"/>
        <v>0.10215940734537104</v>
      </c>
      <c r="AH30" s="15">
        <f t="shared" si="12"/>
        <v>1.8002769105307997E-4</v>
      </c>
      <c r="AI30" s="15">
        <f t="shared" si="13"/>
        <v>-3.9271169502240834E-2</v>
      </c>
      <c r="AJ30" s="15">
        <f t="shared" si="14"/>
        <v>0.25438748080000678</v>
      </c>
      <c r="AL30">
        <v>1985</v>
      </c>
      <c r="AM30" s="22">
        <f t="shared" si="15"/>
        <v>2.4873758958186096E-2</v>
      </c>
      <c r="AN30" s="22">
        <f t="shared" si="16"/>
        <v>-2.9457356715031448E-2</v>
      </c>
      <c r="AO30" s="22">
        <f t="shared" si="17"/>
        <v>9.1558323963037286E-3</v>
      </c>
      <c r="AP30" s="23">
        <f t="shared" si="21"/>
        <v>8.7470521857193062E-3</v>
      </c>
      <c r="AQ30" s="24">
        <f t="shared" si="18"/>
        <v>-1.930470900869006E-3</v>
      </c>
      <c r="AR30" s="24">
        <f t="shared" si="19"/>
        <v>1.2453683089026186E-2</v>
      </c>
      <c r="AS30" s="24">
        <f t="shared" si="23"/>
        <v>-3.9271169502240834E-2</v>
      </c>
      <c r="AT30" s="24">
        <f t="shared" si="24"/>
        <v>4.2067244139261335E-2</v>
      </c>
    </row>
    <row r="31" spans="1:46" x14ac:dyDescent="0.25">
      <c r="A31">
        <v>1986</v>
      </c>
      <c r="B31">
        <f>Data!C28</f>
        <v>473365.9</v>
      </c>
      <c r="C31">
        <f>Data!S28</f>
        <v>31257560.579999998</v>
      </c>
      <c r="D31">
        <f t="shared" si="29"/>
        <v>1.0651034488753952</v>
      </c>
      <c r="E31">
        <f t="shared" si="20"/>
        <v>0.98692810457516345</v>
      </c>
      <c r="F31">
        <f t="shared" si="20"/>
        <v>1.0185999999999999</v>
      </c>
      <c r="G31" s="3">
        <f>Data!O28</f>
        <v>14.5</v>
      </c>
      <c r="H31" s="3">
        <f t="shared" si="25"/>
        <v>3557.6156445665833</v>
      </c>
      <c r="I31" s="15">
        <f>Data!Q28</f>
        <v>1.5100000000000001E-2</v>
      </c>
      <c r="J31" s="3">
        <f>Data!R28</f>
        <v>3.7048273264107179</v>
      </c>
      <c r="L31">
        <f>Data!I28*0.01*Data!C28</f>
        <v>72715.89999999998</v>
      </c>
      <c r="M31" s="3">
        <f>Data!H28*0.01*Data!C28/Data!O28</f>
        <v>25582.289999999997</v>
      </c>
      <c r="N31">
        <f>Data!P28</f>
        <v>50737</v>
      </c>
      <c r="O31">
        <f>1+Data!M28*0.01*Data!C28/Calculations!L30</f>
        <v>1.0980263469057994</v>
      </c>
      <c r="P31">
        <f>1+Data!L28*0.01*Data!C28/Data!O28/Calculations!M30</f>
        <v>1.1754530527381155</v>
      </c>
      <c r="Q31">
        <f>Data!F28*0.01*Data!C28</f>
        <v>-4997.9494689999992</v>
      </c>
      <c r="S31" s="6">
        <f t="shared" si="0"/>
        <v>72715.89999999998</v>
      </c>
      <c r="T31" s="13">
        <f t="shared" si="31"/>
        <v>3557.6156445665833</v>
      </c>
      <c r="U31" s="6">
        <f t="shared" si="30"/>
        <v>25582.289999999997</v>
      </c>
      <c r="V31" s="11">
        <f t="shared" si="3"/>
        <v>50737</v>
      </c>
      <c r="W31" s="6">
        <f t="shared" si="32"/>
        <v>-4997.9494689999992</v>
      </c>
      <c r="X31" s="6">
        <f t="shared" si="34"/>
        <v>63843.039999999994</v>
      </c>
      <c r="Y31" s="6">
        <f t="shared" si="26"/>
        <v>21058.68811196338</v>
      </c>
      <c r="AA31">
        <v>1986</v>
      </c>
      <c r="AB31" s="13">
        <f t="shared" si="5"/>
        <v>0.15361457172981827</v>
      </c>
      <c r="AC31" s="13">
        <f t="shared" si="9"/>
        <v>3557.6156445665833</v>
      </c>
      <c r="AD31" s="13">
        <f t="shared" si="33"/>
        <v>2.2091050320082991E-4</v>
      </c>
      <c r="AE31" s="13">
        <f t="shared" si="6"/>
        <v>0.10718347054572372</v>
      </c>
      <c r="AF31" s="14">
        <f t="shared" si="10"/>
        <v>-9.7939370838089831E-2</v>
      </c>
      <c r="AG31" s="15">
        <f t="shared" si="11"/>
        <v>0.13487038250959774</v>
      </c>
      <c r="AH31" s="15">
        <f t="shared" si="12"/>
        <v>3.628550351191993E-4</v>
      </c>
      <c r="AI31" s="15">
        <f t="shared" si="13"/>
        <v>-1.055832173166677E-2</v>
      </c>
      <c r="AJ31" s="15">
        <f t="shared" si="14"/>
        <v>0.23428340780378248</v>
      </c>
      <c r="AL31">
        <v>1986</v>
      </c>
      <c r="AM31" s="22">
        <f t="shared" si="15"/>
        <v>2.4327701053133505E-2</v>
      </c>
      <c r="AN31" s="22">
        <f t="shared" si="16"/>
        <v>0.18880037801897051</v>
      </c>
      <c r="AO31" s="22">
        <f t="shared" si="17"/>
        <v>4.2315109985949367E-3</v>
      </c>
      <c r="AP31" s="23">
        <f t="shared" si="21"/>
        <v>5.0125887090389509E-3</v>
      </c>
      <c r="AQ31" s="24">
        <f t="shared" si="18"/>
        <v>5.7616643123217749E-3</v>
      </c>
      <c r="AR31" s="24">
        <f t="shared" si="19"/>
        <v>4.9830604401049576E-2</v>
      </c>
      <c r="AS31" s="24">
        <f t="shared" si="23"/>
        <v>-1.055832173166677E-2</v>
      </c>
      <c r="AT31" s="24">
        <f t="shared" si="24"/>
        <v>0.17733823179803332</v>
      </c>
    </row>
    <row r="32" spans="1:46" x14ac:dyDescent="0.25">
      <c r="A32">
        <v>1987</v>
      </c>
      <c r="B32">
        <f>Data!C29</f>
        <v>673918.29</v>
      </c>
      <c r="C32">
        <f>Data!S29</f>
        <v>32377097.02</v>
      </c>
      <c r="D32">
        <f t="shared" si="29"/>
        <v>1.0358165006873994</v>
      </c>
      <c r="E32">
        <f t="shared" si="20"/>
        <v>1.3774834437086092</v>
      </c>
      <c r="F32">
        <f t="shared" si="20"/>
        <v>1.0374000000000001</v>
      </c>
      <c r="G32" s="3">
        <f>Data!O29</f>
        <v>14.5</v>
      </c>
      <c r="H32" s="3">
        <f t="shared" si="25"/>
        <v>2679.2848121186516</v>
      </c>
      <c r="I32" s="15">
        <f>Data!Q29</f>
        <v>2.0799999999999999E-2</v>
      </c>
      <c r="J32" s="3">
        <f>Data!R29</f>
        <v>3.8433878684184792</v>
      </c>
      <c r="L32">
        <f>Data!I29*0.01*Data!C29</f>
        <v>79422.070000000007</v>
      </c>
      <c r="M32" s="3">
        <f>Data!H29*0.01*Data!C29/Data!O29</f>
        <v>25662.680000000004</v>
      </c>
      <c r="N32">
        <f>Data!P29</f>
        <v>60952</v>
      </c>
      <c r="O32">
        <f>1+Data!M29*0.01*Data!C29/Calculations!L31</f>
        <v>1.0978281228727143</v>
      </c>
      <c r="P32">
        <f>1+Data!L29*0.01*Data!C29/Data!O29/Calculations!M31</f>
        <v>1.0838729740343045</v>
      </c>
      <c r="Q32">
        <f>Data!F29*0.01*Data!C29</f>
        <v>-2956.7698011666653</v>
      </c>
      <c r="S32" s="6">
        <f t="shared" si="0"/>
        <v>79422.070000000007</v>
      </c>
      <c r="T32" s="13">
        <f t="shared" si="31"/>
        <v>2679.2848121186516</v>
      </c>
      <c r="U32" s="6">
        <f t="shared" si="30"/>
        <v>25662.680000000004</v>
      </c>
      <c r="V32" s="11">
        <f t="shared" si="3"/>
        <v>60952</v>
      </c>
      <c r="W32" s="6">
        <f t="shared" si="32"/>
        <v>-2956.7698011666653</v>
      </c>
      <c r="X32" s="6">
        <f t="shared" si="34"/>
        <v>79829.559999999983</v>
      </c>
      <c r="Y32" s="6">
        <f t="shared" si="26"/>
        <v>27727.952744908045</v>
      </c>
      <c r="AA32">
        <v>1987</v>
      </c>
      <c r="AB32" s="13">
        <f t="shared" si="5"/>
        <v>0.11785118638047352</v>
      </c>
      <c r="AC32" s="13">
        <f t="shared" si="9"/>
        <v>2679.2848121186516</v>
      </c>
      <c r="AD32" s="13">
        <f t="shared" si="33"/>
        <v>2.0622907172616282E-4</v>
      </c>
      <c r="AE32" s="13">
        <f t="shared" si="6"/>
        <v>9.0444199103128661E-2</v>
      </c>
      <c r="AF32" s="14">
        <f t="shared" si="10"/>
        <v>-7.5120522914418522E-2</v>
      </c>
      <c r="AG32" s="15">
        <f t="shared" si="11"/>
        <v>0.11845584425375957</v>
      </c>
      <c r="AH32" s="15">
        <f t="shared" si="12"/>
        <v>1.6781297613200599E-4</v>
      </c>
      <c r="AI32" s="15">
        <f t="shared" si="13"/>
        <v>-4.3874307093915866E-3</v>
      </c>
      <c r="AJ32" s="15">
        <f t="shared" si="14"/>
        <v>0.16938591094924688</v>
      </c>
      <c r="AL32">
        <v>1987</v>
      </c>
      <c r="AM32" s="22">
        <f t="shared" si="15"/>
        <v>-3.5763385349344742E-2</v>
      </c>
      <c r="AN32" s="22">
        <f t="shared" si="16"/>
        <v>-3.9335736370236268E-2</v>
      </c>
      <c r="AO32" s="22">
        <f t="shared" si="17"/>
        <v>-1.6739271442595058E-2</v>
      </c>
      <c r="AP32" s="23">
        <f t="shared" si="21"/>
        <v>3.2062947631305197E-2</v>
      </c>
      <c r="AQ32" s="24">
        <f t="shared" si="18"/>
        <v>-3.5419993981272893E-2</v>
      </c>
      <c r="AR32" s="24">
        <f t="shared" si="19"/>
        <v>5.1319131850307044E-3</v>
      </c>
      <c r="AS32" s="24">
        <f t="shared" si="23"/>
        <v>-4.3874307093915866E-3</v>
      </c>
      <c r="AT32" s="24">
        <f t="shared" si="24"/>
        <v>-2.5099934025237094E-2</v>
      </c>
    </row>
    <row r="33" spans="1:46" x14ac:dyDescent="0.25">
      <c r="A33">
        <v>1988</v>
      </c>
      <c r="B33">
        <f>Data!C30</f>
        <v>845065.53</v>
      </c>
      <c r="C33">
        <f>Data!S30</f>
        <v>34261887.100000001</v>
      </c>
      <c r="D33">
        <f t="shared" si="29"/>
        <v>1.058213683544134</v>
      </c>
      <c r="E33">
        <f t="shared" si="20"/>
        <v>1.1875</v>
      </c>
      <c r="F33">
        <f t="shared" si="20"/>
        <v>1.0401</v>
      </c>
      <c r="G33" s="3">
        <f>Data!O30</f>
        <v>14.5</v>
      </c>
      <c r="H33" s="3">
        <f t="shared" si="25"/>
        <v>2346.7150594396712</v>
      </c>
      <c r="I33" s="15">
        <f>Data!Q30</f>
        <v>2.47E-2</v>
      </c>
      <c r="J33" s="3">
        <f>Data!R30</f>
        <v>3.9975077219420605</v>
      </c>
      <c r="L33">
        <f>Data!I30*0.01*Data!C30</f>
        <v>91015.31</v>
      </c>
      <c r="M33" s="3">
        <f>Data!H30*0.01*Data!C30/Data!O30</f>
        <v>25899.449999999997</v>
      </c>
      <c r="N33">
        <f>Data!P30</f>
        <v>73870</v>
      </c>
      <c r="O33">
        <f>1+Data!M30*0.01*Data!C30/Calculations!L32</f>
        <v>1.0922719591670174</v>
      </c>
      <c r="P33">
        <f>1+Data!L30*0.01*Data!C30/Data!O30/Calculations!M32</f>
        <v>1.1104762533200634</v>
      </c>
      <c r="Q33">
        <f>Data!F30*0.01*Data!C30</f>
        <v>10133.377320000001</v>
      </c>
      <c r="S33" s="6">
        <f t="shared" si="0"/>
        <v>91015.31</v>
      </c>
      <c r="T33" s="13">
        <f t="shared" si="31"/>
        <v>2346.7150594396712</v>
      </c>
      <c r="U33" s="6">
        <f t="shared" si="30"/>
        <v>25899.449999999997</v>
      </c>
      <c r="V33" s="11">
        <f t="shared" si="3"/>
        <v>73870</v>
      </c>
      <c r="W33" s="6">
        <f t="shared" si="32"/>
        <v>10133.377320000001</v>
      </c>
      <c r="X33" s="6">
        <f t="shared" si="34"/>
        <v>86750.5</v>
      </c>
      <c r="Y33" s="6">
        <f t="shared" si="26"/>
        <v>28497.796736551729</v>
      </c>
      <c r="AA33">
        <v>1988</v>
      </c>
      <c r="AB33" s="13">
        <f t="shared" si="5"/>
        <v>0.10770207370782239</v>
      </c>
      <c r="AC33" s="13">
        <f t="shared" si="9"/>
        <v>2346.7150594396712</v>
      </c>
      <c r="AD33" s="13">
        <f t="shared" si="33"/>
        <v>1.8909931276506192E-4</v>
      </c>
      <c r="AE33" s="13">
        <f t="shared" si="6"/>
        <v>8.7413339412861862E-2</v>
      </c>
      <c r="AF33" s="14">
        <f t="shared" si="10"/>
        <v>-7.1973682887713955E-2</v>
      </c>
      <c r="AG33" s="15">
        <f t="shared" si="11"/>
        <v>0.10265535265649753</v>
      </c>
      <c r="AH33" s="15">
        <f t="shared" si="12"/>
        <v>1.8224355207563145E-4</v>
      </c>
      <c r="AI33" s="15">
        <f t="shared" si="13"/>
        <v>1.1991232585241053E-2</v>
      </c>
      <c r="AJ33" s="15">
        <f t="shared" si="14"/>
        <v>0.15244936652734908</v>
      </c>
      <c r="AL33">
        <v>1988</v>
      </c>
      <c r="AM33" s="22">
        <f t="shared" si="15"/>
        <v>-1.0149112672651131E-2</v>
      </c>
      <c r="AN33" s="22">
        <f t="shared" si="16"/>
        <v>-4.0198663318587124E-2</v>
      </c>
      <c r="AO33" s="22">
        <f t="shared" si="17"/>
        <v>-3.0308596902667989E-3</v>
      </c>
      <c r="AP33" s="23">
        <f t="shared" si="21"/>
        <v>1.8470516215414706E-2</v>
      </c>
      <c r="AQ33" s="24">
        <f t="shared" si="18"/>
        <v>-1.5413973863236534E-2</v>
      </c>
      <c r="AR33" s="24">
        <f t="shared" si="19"/>
        <v>4.3215128687434682E-3</v>
      </c>
      <c r="AS33" s="24">
        <f t="shared" si="23"/>
        <v>1.1991232585241053E-2</v>
      </c>
      <c r="AT33" s="24">
        <f t="shared" si="24"/>
        <v>-3.5806891056838333E-2</v>
      </c>
    </row>
    <row r="34" spans="1:46" x14ac:dyDescent="0.25">
      <c r="A34">
        <v>1989</v>
      </c>
      <c r="B34">
        <f>Data!C31</f>
        <v>1461558.31</v>
      </c>
      <c r="C34">
        <f>Data!S31</f>
        <v>31325683.84</v>
      </c>
      <c r="D34">
        <f t="shared" si="29"/>
        <v>0.91430118103447955</v>
      </c>
      <c r="E34">
        <f t="shared" si="20"/>
        <v>1.8906882591093117</v>
      </c>
      <c r="F34">
        <f t="shared" si="20"/>
        <v>1.0483</v>
      </c>
      <c r="G34" s="3">
        <f>Data!O31</f>
        <v>43.08</v>
      </c>
      <c r="H34" s="3">
        <f t="shared" si="25"/>
        <v>3865.7495250279021</v>
      </c>
      <c r="I34" s="15">
        <f>Data!Q31</f>
        <v>4.6699999999999998E-2</v>
      </c>
      <c r="J34" s="3">
        <f>Data!R31</f>
        <v>4.1905873449118625</v>
      </c>
      <c r="L34">
        <f>Data!I31*0.01*Data!C31</f>
        <v>126396.20000000001</v>
      </c>
      <c r="M34" s="3">
        <f>Data!H31*0.01*Data!C31/Data!O31</f>
        <v>26426.610000000008</v>
      </c>
      <c r="N34">
        <f>Data!P31</f>
        <v>87840</v>
      </c>
      <c r="O34">
        <f>1+Data!M31*0.01*Data!C31/Calculations!L33</f>
        <v>1.1187959476268334</v>
      </c>
      <c r="P34">
        <f>1+Data!L31*0.01*Data!C31/Data!O31/Calculations!M33</f>
        <v>1.0492971016980741</v>
      </c>
      <c r="Q34">
        <f>Data!F31*0.01*Data!C31</f>
        <v>-51765.834785333333</v>
      </c>
      <c r="S34" s="6">
        <f t="shared" si="0"/>
        <v>126396.20000000001</v>
      </c>
      <c r="T34" s="13">
        <f t="shared" si="31"/>
        <v>3865.7495250279021</v>
      </c>
      <c r="U34" s="6">
        <f t="shared" si="30"/>
        <v>26426.610000000008</v>
      </c>
      <c r="V34" s="11">
        <f t="shared" si="3"/>
        <v>87840</v>
      </c>
      <c r="W34" s="6">
        <f t="shared" si="32"/>
        <v>-51765.834785333333</v>
      </c>
      <c r="X34" s="6">
        <f t="shared" si="34"/>
        <v>101827.56000000001</v>
      </c>
      <c r="Y34" s="6">
        <f t="shared" si="26"/>
        <v>27176.217820574184</v>
      </c>
      <c r="AA34">
        <v>1989</v>
      </c>
      <c r="AB34" s="13">
        <f t="shared" si="5"/>
        <v>8.648043607647786E-2</v>
      </c>
      <c r="AC34" s="13">
        <f t="shared" si="9"/>
        <v>3865.7495250279021</v>
      </c>
      <c r="AD34" s="13">
        <f t="shared" si="33"/>
        <v>2.0131030087815774E-4</v>
      </c>
      <c r="AE34" s="13">
        <f t="shared" si="6"/>
        <v>6.0100236438736403E-2</v>
      </c>
      <c r="AF34" s="14">
        <f t="shared" si="10"/>
        <v>-5.0567153081182419E-2</v>
      </c>
      <c r="AG34" s="15">
        <f t="shared" si="11"/>
        <v>6.9670542258420065E-2</v>
      </c>
      <c r="AH34" s="15">
        <f t="shared" si="12"/>
        <v>3.4102554222465841E-4</v>
      </c>
      <c r="AI34" s="15">
        <f t="shared" si="13"/>
        <v>-3.5418248065199213E-2</v>
      </c>
      <c r="AJ34" s="15">
        <f t="shared" si="14"/>
        <v>0.16275581616182933</v>
      </c>
      <c r="AL34">
        <v>1989</v>
      </c>
      <c r="AM34" s="22">
        <f t="shared" si="15"/>
        <v>-2.1221637631344534E-2</v>
      </c>
      <c r="AN34" s="22">
        <f t="shared" si="16"/>
        <v>4.7204621498321504E-2</v>
      </c>
      <c r="AO34" s="22">
        <f t="shared" si="17"/>
        <v>-2.731310297412546E-2</v>
      </c>
      <c r="AP34" s="23">
        <f t="shared" si="21"/>
        <v>3.6846186331679444E-2</v>
      </c>
      <c r="AQ34" s="24">
        <f t="shared" si="18"/>
        <v>-3.7996783137857759E-2</v>
      </c>
      <c r="AR34" s="24">
        <f t="shared" si="19"/>
        <v>6.9279197087544736E-2</v>
      </c>
      <c r="AS34" s="24">
        <f t="shared" si="23"/>
        <v>-3.5418248065199213E-2</v>
      </c>
      <c r="AT34" s="24">
        <f t="shared" si="24"/>
        <v>3.9651901340043191E-2</v>
      </c>
    </row>
    <row r="35" spans="1:46" x14ac:dyDescent="0.25">
      <c r="A35">
        <v>1990</v>
      </c>
      <c r="B35">
        <f>Data!C32</f>
        <v>2205613.66</v>
      </c>
      <c r="C35">
        <f>Data!S32</f>
        <v>33351810.510000002</v>
      </c>
      <c r="D35">
        <f t="shared" si="29"/>
        <v>1.0646794074903108</v>
      </c>
      <c r="E35">
        <f t="shared" si="20"/>
        <v>1.4154175588865099</v>
      </c>
      <c r="F35">
        <f t="shared" si="20"/>
        <v>1.054</v>
      </c>
      <c r="G35" s="3">
        <f>Data!O32</f>
        <v>50.36</v>
      </c>
      <c r="H35" s="3">
        <f t="shared" si="25"/>
        <v>3365.1139113314448</v>
      </c>
      <c r="I35" s="15">
        <f>Data!Q32</f>
        <v>6.6100000000000006E-2</v>
      </c>
      <c r="J35" s="3">
        <f>Data!R32</f>
        <v>4.4168790615371032</v>
      </c>
      <c r="L35">
        <f>Data!I32*0.01*Data!C32</f>
        <v>155795.62</v>
      </c>
      <c r="M35" s="3">
        <f>Data!H32*0.01*Data!C32/Data!O32</f>
        <v>25670.499999999993</v>
      </c>
      <c r="N35">
        <f>Data!P32</f>
        <v>168288</v>
      </c>
      <c r="O35">
        <f>1+Data!M32*0.01*Data!C32/Calculations!L34</f>
        <v>1.0683681154971432</v>
      </c>
      <c r="P35">
        <f>1+Data!L32*0.01*Data!C32/Data!O32/Calculations!M34</f>
        <v>1.0430250955159834</v>
      </c>
      <c r="Q35">
        <f>Data!F32*0.01*Data!C32</f>
        <v>-8170.1179705000259</v>
      </c>
      <c r="S35" s="6">
        <f t="shared" si="0"/>
        <v>155795.62</v>
      </c>
      <c r="T35" s="13">
        <f t="shared" si="31"/>
        <v>3365.1139113314448</v>
      </c>
      <c r="U35" s="6">
        <f t="shared" si="30"/>
        <v>25670.499999999993</v>
      </c>
      <c r="V35" s="11">
        <f t="shared" si="3"/>
        <v>168288</v>
      </c>
      <c r="W35" s="6">
        <f t="shared" si="32"/>
        <v>-8170.1179705000259</v>
      </c>
      <c r="X35" s="6">
        <f t="shared" si="34"/>
        <v>135037.67000000001</v>
      </c>
      <c r="Y35" s="6">
        <f t="shared" si="26"/>
        <v>27563.617419413651</v>
      </c>
      <c r="AA35">
        <v>1990</v>
      </c>
      <c r="AB35" s="13">
        <f t="shared" si="5"/>
        <v>7.0635951719667883E-2</v>
      </c>
      <c r="AC35" s="13">
        <f t="shared" si="9"/>
        <v>3365.1139113314448</v>
      </c>
      <c r="AD35" s="13">
        <f t="shared" si="33"/>
        <v>1.7426068027851373E-4</v>
      </c>
      <c r="AE35" s="13">
        <f t="shared" si="6"/>
        <v>7.6299853891909603E-2</v>
      </c>
      <c r="AF35" s="14">
        <f t="shared" si="10"/>
        <v>-3.9881615983598559E-2</v>
      </c>
      <c r="AG35" s="15">
        <f t="shared" si="11"/>
        <v>6.122453467213293E-2</v>
      </c>
      <c r="AH35" s="15">
        <f t="shared" si="12"/>
        <v>1.6287984576363097E-4</v>
      </c>
      <c r="AI35" s="15">
        <f t="shared" si="13"/>
        <v>-3.7042380171421431E-3</v>
      </c>
      <c r="AJ35" s="15">
        <f t="shared" si="14"/>
        <v>0.12930850577470016</v>
      </c>
      <c r="AL35">
        <v>1990</v>
      </c>
      <c r="AM35" s="22">
        <f t="shared" si="15"/>
        <v>-1.5844484356809976E-2</v>
      </c>
      <c r="AN35" s="22">
        <f t="shared" si="16"/>
        <v>-9.102505457609969E-2</v>
      </c>
      <c r="AO35" s="22">
        <f t="shared" si="17"/>
        <v>1.61996174531732E-2</v>
      </c>
      <c r="AP35" s="23">
        <f t="shared" si="21"/>
        <v>2.0218620455137844E-2</v>
      </c>
      <c r="AQ35" s="24">
        <f t="shared" si="18"/>
        <v>-2.5169865741096389E-2</v>
      </c>
      <c r="AR35" s="24">
        <f t="shared" si="19"/>
        <v>-4.7779407582032897E-2</v>
      </c>
      <c r="AS35" s="24">
        <f t="shared" si="23"/>
        <v>-3.7042380171421431E-3</v>
      </c>
      <c r="AT35" s="24">
        <f t="shared" si="24"/>
        <v>6.202210315672807E-3</v>
      </c>
    </row>
    <row r="36" spans="1:46" x14ac:dyDescent="0.25">
      <c r="A36">
        <v>1991</v>
      </c>
      <c r="B36">
        <f>Data!C33</f>
        <v>2939344.74</v>
      </c>
      <c r="C36">
        <f>Data!S33</f>
        <v>36596904.299999997</v>
      </c>
      <c r="D36">
        <f t="shared" si="29"/>
        <v>1.0972988794424521</v>
      </c>
      <c r="E36">
        <f t="shared" si="20"/>
        <v>1.2148260211800301</v>
      </c>
      <c r="F36">
        <f t="shared" si="20"/>
        <v>1.0423</v>
      </c>
      <c r="G36" s="3">
        <f>Data!O33</f>
        <v>61.554000000000002</v>
      </c>
      <c r="H36" s="3">
        <f t="shared" si="25"/>
        <v>3528.9782418884547</v>
      </c>
      <c r="I36" s="15">
        <f>Data!Q33</f>
        <v>8.0299999999999996E-2</v>
      </c>
      <c r="J36" s="3">
        <f>Data!R33</f>
        <v>4.6037130458401228</v>
      </c>
      <c r="L36">
        <f>Data!I33*0.01*Data!C33</f>
        <v>281563.21000000002</v>
      </c>
      <c r="M36" s="3">
        <f>Data!H33*0.01*Data!C33/Data!O33</f>
        <v>26516.699999999997</v>
      </c>
      <c r="N36">
        <f>Data!P33</f>
        <v>330444</v>
      </c>
      <c r="O36">
        <f>1+Data!M33*0.01*Data!C33/Calculations!L35</f>
        <v>1.0861280952571066</v>
      </c>
      <c r="P36">
        <f>1+Data!L33*0.01*Data!C33/Data!O33/Calculations!M35</f>
        <v>1.0442369790144408</v>
      </c>
      <c r="Q36">
        <f>Data!F33*0.01*Data!C33</f>
        <v>-48817.798369999975</v>
      </c>
      <c r="S36" s="6">
        <f t="shared" si="0"/>
        <v>281563.21000000002</v>
      </c>
      <c r="T36" s="13">
        <f t="shared" si="31"/>
        <v>3528.9782418884547</v>
      </c>
      <c r="U36" s="6">
        <f t="shared" si="30"/>
        <v>26516.699999999997</v>
      </c>
      <c r="V36" s="11">
        <f t="shared" si="3"/>
        <v>330444</v>
      </c>
      <c r="W36" s="6">
        <f t="shared" si="32"/>
        <v>-48817.798369999975</v>
      </c>
      <c r="X36" s="6">
        <f t="shared" si="34"/>
        <v>169213.99999999997</v>
      </c>
      <c r="Y36" s="6">
        <f t="shared" si="26"/>
        <v>26806.085369790195</v>
      </c>
      <c r="AA36">
        <v>1991</v>
      </c>
      <c r="AB36" s="13">
        <f t="shared" si="5"/>
        <v>9.5791149016430099E-2</v>
      </c>
      <c r="AC36" s="13">
        <f t="shared" si="9"/>
        <v>3528.9782418884547</v>
      </c>
      <c r="AD36" s="13">
        <f t="shared" si="33"/>
        <v>1.573862831163085E-4</v>
      </c>
      <c r="AE36" s="13">
        <f t="shared" si="6"/>
        <v>0.1124209744788221</v>
      </c>
      <c r="AF36" s="14">
        <f t="shared" si="10"/>
        <v>-5.7238030907488226E-2</v>
      </c>
      <c r="AG36" s="15">
        <f t="shared" si="11"/>
        <v>5.7568613064420598E-2</v>
      </c>
      <c r="AH36" s="15">
        <f t="shared" si="12"/>
        <v>1.6685145990217261E-4</v>
      </c>
      <c r="AI36" s="15">
        <f t="shared" si="13"/>
        <v>-1.6608394961524647E-2</v>
      </c>
      <c r="AJ36" s="15">
        <f t="shared" si="14"/>
        <v>0.22448047112305858</v>
      </c>
      <c r="AL36">
        <v>1991</v>
      </c>
      <c r="AM36" s="22">
        <f t="shared" si="15"/>
        <v>2.5155197296762216E-2</v>
      </c>
      <c r="AN36" s="22">
        <f t="shared" si="16"/>
        <v>-5.9549380430406522E-2</v>
      </c>
      <c r="AO36" s="22">
        <f t="shared" si="17"/>
        <v>3.6121120586912497E-2</v>
      </c>
      <c r="AP36" s="23">
        <f t="shared" si="21"/>
        <v>1.9061822984421377E-2</v>
      </c>
      <c r="AQ36" s="24">
        <f t="shared" si="18"/>
        <v>-1.3082970152475261E-2</v>
      </c>
      <c r="AR36" s="24">
        <f t="shared" si="19"/>
        <v>-5.3487980276793641E-2</v>
      </c>
      <c r="AS36" s="24">
        <f t="shared" si="23"/>
        <v>-1.6608394961524647E-2</v>
      </c>
      <c r="AT36" s="24">
        <f t="shared" si="24"/>
        <v>0.10396810582848312</v>
      </c>
    </row>
    <row r="37" spans="1:46" x14ac:dyDescent="0.25">
      <c r="A37">
        <v>1992</v>
      </c>
      <c r="B37">
        <f>Data!C34</f>
        <v>3997986.77</v>
      </c>
      <c r="C37">
        <f>Data!S34</f>
        <v>38814849.909999996</v>
      </c>
      <c r="D37">
        <f t="shared" si="29"/>
        <v>1.0606047328981321</v>
      </c>
      <c r="E37">
        <f t="shared" si="20"/>
        <v>1.2826899128268991</v>
      </c>
      <c r="F37">
        <f t="shared" si="20"/>
        <v>1.0303</v>
      </c>
      <c r="G37" s="3">
        <f>Data!O34</f>
        <v>79.45</v>
      </c>
      <c r="H37" s="3">
        <f t="shared" ref="H37:H61" si="35">+G37*J37/I37</f>
        <v>3658.7153498757798</v>
      </c>
      <c r="I37" s="15">
        <f>Data!Q34</f>
        <v>0.10299999999999999</v>
      </c>
      <c r="J37" s="3">
        <f>Data!R34</f>
        <v>4.743205551129078</v>
      </c>
      <c r="L37">
        <f>Data!I34*0.01*Data!C34</f>
        <v>134854.94999999998</v>
      </c>
      <c r="M37" s="3">
        <f>Data!H34*0.01*Data!C34/Data!O34</f>
        <v>27082.9</v>
      </c>
      <c r="N37">
        <f>Data!P34</f>
        <v>382426</v>
      </c>
      <c r="O37">
        <f>1+Data!M34*0.01*Data!C34/Calculations!L36</f>
        <v>1.1602939176606206</v>
      </c>
      <c r="P37">
        <f>1+Data!L34*0.01*Data!C34/Data!O34/Calculations!M36</f>
        <v>1.0631569256454705</v>
      </c>
      <c r="Q37">
        <f>Data!F34*0.01*Data!C34</f>
        <v>-460.0631999999751</v>
      </c>
      <c r="S37" s="6">
        <f t="shared" ref="S37:S61" si="36">+L37</f>
        <v>134854.94999999998</v>
      </c>
      <c r="T37" s="13">
        <f t="shared" si="31"/>
        <v>3658.7153498757798</v>
      </c>
      <c r="U37" s="6">
        <f t="shared" ref="U37:U61" si="37">+M37</f>
        <v>27082.9</v>
      </c>
      <c r="V37" s="11">
        <f t="shared" ref="V37:V61" si="38">+N37</f>
        <v>382426</v>
      </c>
      <c r="W37" s="6">
        <f t="shared" si="32"/>
        <v>-460.0631999999751</v>
      </c>
      <c r="X37" s="6">
        <f t="shared" si="34"/>
        <v>326696.08000000007</v>
      </c>
      <c r="Y37" s="6">
        <f t="shared" si="26"/>
        <v>28191.413250263246</v>
      </c>
      <c r="AA37">
        <v>1992</v>
      </c>
      <c r="AB37" s="13">
        <f t="shared" ref="AB37:AB61" si="39">+S37/B37</f>
        <v>3.3730714421548721E-2</v>
      </c>
      <c r="AC37" s="13">
        <f t="shared" si="9"/>
        <v>3658.7153498757798</v>
      </c>
      <c r="AD37" s="13">
        <f t="shared" si="33"/>
        <v>1.4710428023065718E-4</v>
      </c>
      <c r="AE37" s="13">
        <f t="shared" ref="AE37:AE61" si="40">+N37/B37</f>
        <v>9.5654643699583833E-2</v>
      </c>
      <c r="AF37" s="14">
        <f t="shared" si="10"/>
        <v>-8.2636536255240048E-2</v>
      </c>
      <c r="AG37" s="15">
        <f t="shared" si="11"/>
        <v>8.1715147846774902E-2</v>
      </c>
      <c r="AH37" s="15">
        <f t="shared" si="12"/>
        <v>1.5875471505049645E-4</v>
      </c>
      <c r="AI37" s="15">
        <f t="shared" si="13"/>
        <v>-1.1507371746504681E-4</v>
      </c>
      <c r="AJ37" s="15">
        <f t="shared" si="14"/>
        <v>0.1304101698122429</v>
      </c>
      <c r="AL37">
        <v>1992</v>
      </c>
      <c r="AM37" s="22">
        <f t="shared" si="15"/>
        <v>-6.2060434594881378E-2</v>
      </c>
      <c r="AN37" s="22">
        <f t="shared" si="16"/>
        <v>-3.7618921785199551E-2</v>
      </c>
      <c r="AO37" s="22">
        <f t="shared" si="17"/>
        <v>-1.6766330779238267E-2</v>
      </c>
      <c r="AP37" s="23">
        <f t="shared" si="21"/>
        <v>2.9784438223582052E-2</v>
      </c>
      <c r="AQ37" s="24">
        <f t="shared" si="18"/>
        <v>-1.4091882395263419E-2</v>
      </c>
      <c r="AR37" s="24">
        <f t="shared" si="19"/>
        <v>-1.5589674687129646E-2</v>
      </c>
      <c r="AS37" s="24">
        <f t="shared" si="23"/>
        <v>-1.1507371746504681E-4</v>
      </c>
      <c r="AT37" s="24">
        <f t="shared" si="24"/>
        <v>-5.6864618135879036E-2</v>
      </c>
    </row>
    <row r="38" spans="1:46" x14ac:dyDescent="0.25">
      <c r="A38">
        <v>1993</v>
      </c>
      <c r="B38">
        <f>Data!C35</f>
        <v>5277676.82</v>
      </c>
      <c r="C38">
        <f>Data!S35</f>
        <v>38921741.369999997</v>
      </c>
      <c r="D38">
        <f t="shared" si="29"/>
        <v>1.0027538805443754</v>
      </c>
      <c r="E38">
        <f t="shared" si="20"/>
        <v>1.3165048543689322</v>
      </c>
      <c r="F38">
        <f t="shared" si="20"/>
        <v>1.0295000000000001</v>
      </c>
      <c r="G38" s="3">
        <f>Data!O35</f>
        <v>105.64</v>
      </c>
      <c r="H38" s="3">
        <f t="shared" si="35"/>
        <v>3804.2320452559256</v>
      </c>
      <c r="I38" s="15">
        <f>Data!Q35</f>
        <v>0.1356</v>
      </c>
      <c r="J38" s="3">
        <f>Data!R35</f>
        <v>4.8831301148873862</v>
      </c>
      <c r="L38">
        <f>Data!I35*0.01*Data!C35</f>
        <v>524391.41999999993</v>
      </c>
      <c r="M38" s="3">
        <f>Data!H35*0.01*Data!C35/Data!O35</f>
        <v>26807.500000000004</v>
      </c>
      <c r="N38">
        <f>Data!P35</f>
        <v>422691</v>
      </c>
      <c r="O38">
        <f>1+Data!M35*0.01*Data!C35/Calculations!L37</f>
        <v>1.2050213210564389</v>
      </c>
      <c r="P38">
        <f>1+Data!L35*0.01*Data!C35/Data!O35/Calculations!M37</f>
        <v>1.0559085450224335</v>
      </c>
      <c r="Q38">
        <f>Data!F35*0.01*Data!C35</f>
        <v>-5847.7387900000913</v>
      </c>
      <c r="S38" s="6">
        <f t="shared" si="36"/>
        <v>524391.41999999993</v>
      </c>
      <c r="T38" s="13">
        <f t="shared" si="31"/>
        <v>3804.2320452559256</v>
      </c>
      <c r="U38" s="6">
        <f t="shared" si="37"/>
        <v>26807.500000000004</v>
      </c>
      <c r="V38" s="11">
        <f t="shared" si="38"/>
        <v>422691</v>
      </c>
      <c r="W38" s="6">
        <f t="shared" si="32"/>
        <v>-5847.7387900000913</v>
      </c>
      <c r="X38" s="6">
        <f t="shared" si="34"/>
        <v>162503.09</v>
      </c>
      <c r="Y38" s="6">
        <f t="shared" si="26"/>
        <v>28597.065533988065</v>
      </c>
      <c r="AA38">
        <v>1993</v>
      </c>
      <c r="AB38" s="13">
        <f t="shared" si="39"/>
        <v>9.9360274962800754E-2</v>
      </c>
      <c r="AC38" s="13">
        <f t="shared" si="9"/>
        <v>3804.2320452559256</v>
      </c>
      <c r="AD38" s="13">
        <f t="shared" si="33"/>
        <v>1.4104761779948572E-4</v>
      </c>
      <c r="AE38" s="13">
        <f t="shared" si="40"/>
        <v>8.0090353088349955E-2</v>
      </c>
      <c r="AF38" s="14">
        <f t="shared" ref="AF38:AF61" si="41">-AE37/(D38*E38)</f>
        <v>-7.2458483810165647E-2</v>
      </c>
      <c r="AG38" s="15">
        <f t="shared" ref="AG38:AG61" si="42">X38/B38</f>
        <v>3.0790648147341462E-2</v>
      </c>
      <c r="AH38" s="15">
        <f t="shared" ref="AH38:AH61" si="43">(H38/H37)*(AD37)*P38/(D38*F38)</f>
        <v>1.5644773814649476E-4</v>
      </c>
      <c r="AI38" s="15">
        <f t="shared" ref="AI38:AI61" si="44">+W38/B38</f>
        <v>-1.1080138078633035E-3</v>
      </c>
      <c r="AJ38" s="15">
        <f t="shared" ref="AJ38:AJ61" si="45">+AB38+AD38+AE38-AG38-AH38-AF38-AI38</f>
        <v>0.22221107740149118</v>
      </c>
      <c r="AL38">
        <v>1993</v>
      </c>
      <c r="AM38" s="22">
        <f t="shared" ref="AM38:AM61" si="46">+AB38-AB37</f>
        <v>6.5629560541252033E-2</v>
      </c>
      <c r="AN38" s="22">
        <f t="shared" ref="AN38:AN61" si="47">AC38*(AD38-AD37)</f>
        <v>-2.3040949307960149E-2</v>
      </c>
      <c r="AO38" s="22">
        <f t="shared" ref="AO38:AO61" si="48">+AE38-AE37</f>
        <v>-1.5564290611233877E-2</v>
      </c>
      <c r="AP38" s="23">
        <f t="shared" si="21"/>
        <v>2.3196159889418186E-2</v>
      </c>
      <c r="AQ38" s="24">
        <f t="shared" ref="AQ38:AQ61" si="49">AB37*((O38/(E38*D38))-1)</f>
        <v>-2.9411564002141577E-3</v>
      </c>
      <c r="AR38" s="24">
        <f t="shared" ref="AR38:AR61" si="50">AC38*AD37*((P38/(F38*D38))-1)</f>
        <v>1.277892416215314E-2</v>
      </c>
      <c r="AS38" s="24">
        <f t="shared" ref="AS38:AS61" si="51">+AI38</f>
        <v>-1.1080138078633035E-3</v>
      </c>
      <c r="AT38" s="24">
        <f t="shared" si="24"/>
        <v>4.1490726557400513E-2</v>
      </c>
    </row>
    <row r="39" spans="1:46" x14ac:dyDescent="0.25">
      <c r="A39">
        <v>1994</v>
      </c>
      <c r="B39">
        <f>Data!C36</f>
        <v>8394860.3699999992</v>
      </c>
      <c r="C39">
        <f>Data!S36</f>
        <v>38007271.990000002</v>
      </c>
      <c r="D39">
        <f t="shared" si="29"/>
        <v>0.97650492121339549</v>
      </c>
      <c r="E39">
        <f t="shared" si="20"/>
        <v>1.6290560471976403</v>
      </c>
      <c r="F39">
        <f t="shared" si="20"/>
        <v>1.0261</v>
      </c>
      <c r="G39" s="3">
        <f>Data!O36</f>
        <v>170</v>
      </c>
      <c r="H39" s="3">
        <f t="shared" si="35"/>
        <v>3856.0369753309683</v>
      </c>
      <c r="I39" s="15">
        <f>Data!Q36</f>
        <v>0.22090000000000001</v>
      </c>
      <c r="J39" s="3">
        <f>Data!R36</f>
        <v>5.0105798108859467</v>
      </c>
      <c r="L39">
        <f>Data!I36*0.01*Data!C36</f>
        <v>1175402.3499999999</v>
      </c>
      <c r="M39" s="3">
        <f>Data!H36*0.01*Data!C36/Data!O36</f>
        <v>26981.4</v>
      </c>
      <c r="N39">
        <f>Data!P36</f>
        <v>698834</v>
      </c>
      <c r="O39">
        <f>1+Data!M36*0.01*Data!C36/Calculations!L38</f>
        <v>1.2516520197832375</v>
      </c>
      <c r="P39">
        <f>1+Data!L36*0.01*Data!C36/Data!O36/Calculations!M38</f>
        <v>1.0641650928695667</v>
      </c>
      <c r="Q39">
        <f>Data!F36*0.01*Data!C36</f>
        <v>246905.97920833342</v>
      </c>
      <c r="S39" s="6">
        <f t="shared" si="36"/>
        <v>1175402.3499999999</v>
      </c>
      <c r="T39" s="13">
        <f t="shared" si="31"/>
        <v>3856.0369753309683</v>
      </c>
      <c r="U39" s="6">
        <f t="shared" si="37"/>
        <v>26981.4</v>
      </c>
      <c r="V39" s="11">
        <f t="shared" si="38"/>
        <v>698834</v>
      </c>
      <c r="W39" s="6">
        <f t="shared" si="32"/>
        <v>246905.97920833342</v>
      </c>
      <c r="X39" s="6">
        <f t="shared" si="34"/>
        <v>656355.57999999996</v>
      </c>
      <c r="Y39" s="6">
        <f t="shared" si="26"/>
        <v>28527.605727100916</v>
      </c>
      <c r="AA39">
        <v>1994</v>
      </c>
      <c r="AB39" s="13">
        <f t="shared" si="39"/>
        <v>0.1400145205750456</v>
      </c>
      <c r="AC39" s="13">
        <f t="shared" si="9"/>
        <v>3856.0369753309683</v>
      </c>
      <c r="AD39" s="13">
        <f t="shared" si="33"/>
        <v>1.4168040754849545E-4</v>
      </c>
      <c r="AE39" s="13">
        <f t="shared" si="40"/>
        <v>8.3245458435183009E-2</v>
      </c>
      <c r="AF39" s="14">
        <f t="shared" si="41"/>
        <v>-5.0346553454999235E-2</v>
      </c>
      <c r="AG39" s="15">
        <f t="shared" si="42"/>
        <v>7.8185407626976414E-2</v>
      </c>
      <c r="AH39" s="15">
        <f t="shared" si="43"/>
        <v>1.5183952299275988E-4</v>
      </c>
      <c r="AI39" s="15">
        <f t="shared" si="44"/>
        <v>2.9411564734379666E-2</v>
      </c>
      <c r="AJ39" s="15">
        <f t="shared" si="45"/>
        <v>0.16599940098842753</v>
      </c>
      <c r="AL39">
        <v>1994</v>
      </c>
      <c r="AM39" s="22">
        <f t="shared" si="46"/>
        <v>4.0654245612244844E-2</v>
      </c>
      <c r="AN39" s="22">
        <f t="shared" si="47"/>
        <v>2.4400606697919445E-3</v>
      </c>
      <c r="AO39" s="22">
        <f t="shared" si="48"/>
        <v>3.1551053468330537E-3</v>
      </c>
      <c r="AP39" s="23">
        <f t="shared" si="21"/>
        <v>2.974379963335072E-2</v>
      </c>
      <c r="AQ39" s="24">
        <f t="shared" si="49"/>
        <v>-2.1182028220009877E-2</v>
      </c>
      <c r="AR39" s="24">
        <f t="shared" si="50"/>
        <v>3.3747949588263743E-2</v>
      </c>
      <c r="AS39" s="24">
        <f t="shared" si="51"/>
        <v>2.9411564734379666E-2</v>
      </c>
      <c r="AT39" s="24">
        <f t="shared" si="24"/>
        <v>3.4015725159587021E-2</v>
      </c>
    </row>
    <row r="40" spans="1:46" x14ac:dyDescent="0.25">
      <c r="A40">
        <v>1995</v>
      </c>
      <c r="B40">
        <f>Data!C37</f>
        <v>13243474.949999999</v>
      </c>
      <c r="C40">
        <f>Data!S37</f>
        <v>39509191.200000003</v>
      </c>
      <c r="D40">
        <f t="shared" si="29"/>
        <v>1.0395166275126289</v>
      </c>
      <c r="E40">
        <f t="shared" si="20"/>
        <v>1.5174287007695788</v>
      </c>
      <c r="F40">
        <f t="shared" si="20"/>
        <v>1.0281</v>
      </c>
      <c r="G40" s="3">
        <f>Data!O37</f>
        <v>290</v>
      </c>
      <c r="H40" s="3">
        <f t="shared" si="35"/>
        <v>4456.740334235782</v>
      </c>
      <c r="I40" s="15">
        <f>Data!Q37</f>
        <v>0.3352</v>
      </c>
      <c r="J40" s="3">
        <f>Data!R37</f>
        <v>5.1513771035718419</v>
      </c>
      <c r="L40">
        <f>Data!I37*0.01*Data!C37</f>
        <v>1479088.5500000003</v>
      </c>
      <c r="M40" s="3">
        <f>Data!H37*0.01*Data!C37/Data!O37</f>
        <v>26109.940000000002</v>
      </c>
      <c r="N40">
        <f>Data!P37</f>
        <v>872536</v>
      </c>
      <c r="O40">
        <f>1+Data!M37*0.01*Data!C37/Calculations!L39</f>
        <v>1.5570352994444838</v>
      </c>
      <c r="P40">
        <f>1+Data!L37*0.01*Data!C37/Data!O37/Calculations!M39</f>
        <v>1.0730599586268508</v>
      </c>
      <c r="Q40">
        <f>Data!F37*0.01*Data!C37</f>
        <v>-419442.12646699999</v>
      </c>
      <c r="S40" s="6">
        <f t="shared" si="36"/>
        <v>1479088.5500000003</v>
      </c>
      <c r="T40" s="13">
        <f t="shared" si="31"/>
        <v>4456.740334235782</v>
      </c>
      <c r="U40" s="6">
        <f t="shared" si="37"/>
        <v>26109.940000000002</v>
      </c>
      <c r="V40" s="11">
        <f t="shared" si="38"/>
        <v>872536</v>
      </c>
      <c r="W40" s="6">
        <f t="shared" si="32"/>
        <v>-419442.12646699999</v>
      </c>
      <c r="X40" s="6">
        <f t="shared" si="34"/>
        <v>1830142.9499999997</v>
      </c>
      <c r="Y40" s="6">
        <f t="shared" si="26"/>
        <v>28952.659967694512</v>
      </c>
      <c r="AA40">
        <v>1995</v>
      </c>
      <c r="AB40" s="13">
        <f t="shared" si="39"/>
        <v>0.11168432421129776</v>
      </c>
      <c r="AC40" s="13">
        <f t="shared" si="9"/>
        <v>4456.740334235782</v>
      </c>
      <c r="AD40" s="13">
        <f t="shared" si="33"/>
        <v>1.2828751457588737E-4</v>
      </c>
      <c r="AE40" s="13">
        <f t="shared" si="40"/>
        <v>6.5884218703490663E-2</v>
      </c>
      <c r="AF40" s="14">
        <f t="shared" si="41"/>
        <v>-5.2774097463069443E-2</v>
      </c>
      <c r="AG40" s="15">
        <f t="shared" si="42"/>
        <v>0.13819204981393496</v>
      </c>
      <c r="AH40" s="15">
        <f t="shared" si="43"/>
        <v>1.6441564057359786E-4</v>
      </c>
      <c r="AI40" s="15">
        <f t="shared" si="44"/>
        <v>-3.1671606436420981E-2</v>
      </c>
      <c r="AJ40" s="15">
        <f t="shared" si="45"/>
        <v>0.12378606887434615</v>
      </c>
      <c r="AL40">
        <v>1995</v>
      </c>
      <c r="AM40" s="22">
        <f t="shared" si="46"/>
        <v>-2.8330196363747839E-2</v>
      </c>
      <c r="AN40" s="22">
        <f t="shared" si="47"/>
        <v>-5.9688646303125412E-2</v>
      </c>
      <c r="AO40" s="22">
        <f t="shared" si="48"/>
        <v>-1.7361239731692346E-2</v>
      </c>
      <c r="AP40" s="23">
        <f t="shared" si="21"/>
        <v>3.0471360972113566E-2</v>
      </c>
      <c r="AQ40" s="24">
        <f t="shared" si="49"/>
        <v>-1.8069599602938684E-3</v>
      </c>
      <c r="AR40" s="24">
        <f t="shared" si="50"/>
        <v>2.5600024821764485E-3</v>
      </c>
      <c r="AS40" s="24">
        <f t="shared" si="51"/>
        <v>-3.1671606436420981E-2</v>
      </c>
      <c r="AT40" s="24">
        <f t="shared" si="24"/>
        <v>-4.3990157511913625E-2</v>
      </c>
    </row>
    <row r="41" spans="1:46" x14ac:dyDescent="0.25">
      <c r="A41">
        <v>1996</v>
      </c>
      <c r="B41">
        <f>Data!C38</f>
        <v>28486493.41</v>
      </c>
      <c r="C41">
        <f>Data!S38</f>
        <v>39431027.259999998</v>
      </c>
      <c r="D41">
        <f t="shared" si="29"/>
        <v>0.99802162642094261</v>
      </c>
      <c r="E41">
        <f t="shared" si="20"/>
        <v>2.1551312649164678</v>
      </c>
      <c r="F41">
        <f t="shared" si="20"/>
        <v>1.0293000000000001</v>
      </c>
      <c r="G41" s="3">
        <f>Data!O38</f>
        <v>476.5</v>
      </c>
      <c r="H41" s="3">
        <f t="shared" si="35"/>
        <v>3497.4416994942494</v>
      </c>
      <c r="I41" s="15">
        <f>Data!Q38</f>
        <v>0.72240000000000004</v>
      </c>
      <c r="J41" s="3">
        <f>Data!R38</f>
        <v>5.3023124527064978</v>
      </c>
      <c r="L41">
        <f>Data!I38*0.01*Data!C38</f>
        <v>2226878</v>
      </c>
      <c r="M41" s="3">
        <f>Data!H38*0.01*Data!C38/Data!O38</f>
        <v>25375</v>
      </c>
      <c r="N41">
        <f>Data!P38</f>
        <v>1675799</v>
      </c>
      <c r="O41">
        <f>1+Data!M38*0.01*Data!C38/Calculations!L40</f>
        <v>1.2590548077733412</v>
      </c>
      <c r="P41">
        <f>1+Data!L38*0.01*Data!C38/Data!O38/Calculations!M40</f>
        <v>1.0673311195093813</v>
      </c>
      <c r="Q41">
        <f>Data!F38*0.01*Data!C38</f>
        <v>-1332646.2093743421</v>
      </c>
      <c r="S41" s="6">
        <f t="shared" si="36"/>
        <v>2226878</v>
      </c>
      <c r="T41" s="13">
        <f t="shared" si="31"/>
        <v>3497.4416994942494</v>
      </c>
      <c r="U41" s="6">
        <f t="shared" si="37"/>
        <v>25375</v>
      </c>
      <c r="V41" s="11">
        <f t="shared" si="38"/>
        <v>1675799</v>
      </c>
      <c r="W41" s="6">
        <f t="shared" si="32"/>
        <v>-1332646.2093743421</v>
      </c>
      <c r="X41" s="6">
        <f t="shared" si="34"/>
        <v>1862253.5500000003</v>
      </c>
      <c r="Y41" s="6">
        <f t="shared" si="26"/>
        <v>27867.951490522777</v>
      </c>
      <c r="AA41">
        <v>1996</v>
      </c>
      <c r="AB41" s="13">
        <f t="shared" si="39"/>
        <v>7.8173117622763244E-2</v>
      </c>
      <c r="AC41" s="13">
        <f t="shared" si="9"/>
        <v>3497.4416994942494</v>
      </c>
      <c r="AD41" s="13">
        <f t="shared" si="33"/>
        <v>1.2136756627563052E-4</v>
      </c>
      <c r="AE41" s="13">
        <f t="shared" si="40"/>
        <v>5.882784433593085E-2</v>
      </c>
      <c r="AF41" s="14">
        <f t="shared" si="41"/>
        <v>-3.0631461644685477E-2</v>
      </c>
      <c r="AG41" s="15">
        <f t="shared" si="42"/>
        <v>6.5373211198619066E-2</v>
      </c>
      <c r="AH41" s="15">
        <f t="shared" si="43"/>
        <v>1.0460074815045903E-4</v>
      </c>
      <c r="AI41" s="15">
        <f t="shared" si="44"/>
        <v>-4.678168668196013E-2</v>
      </c>
      <c r="AJ41" s="15">
        <f t="shared" si="45"/>
        <v>0.14905766590484582</v>
      </c>
      <c r="AL41">
        <v>1996</v>
      </c>
      <c r="AM41" s="22">
        <f t="shared" si="46"/>
        <v>-3.3511206588534515E-2</v>
      </c>
      <c r="AN41" s="22">
        <f t="shared" si="47"/>
        <v>-2.4202115743662652E-2</v>
      </c>
      <c r="AO41" s="22">
        <f t="shared" si="48"/>
        <v>-7.0563743675598131E-3</v>
      </c>
      <c r="AP41" s="23">
        <f t="shared" si="21"/>
        <v>3.5252757058805186E-2</v>
      </c>
      <c r="AQ41" s="24">
        <f t="shared" si="49"/>
        <v>-4.6307596844742824E-2</v>
      </c>
      <c r="AR41" s="24">
        <f t="shared" si="50"/>
        <v>1.750027027120481E-2</v>
      </c>
      <c r="AS41" s="24">
        <f t="shared" si="51"/>
        <v>-4.678168668196013E-2</v>
      </c>
      <c r="AT41" s="24">
        <f t="shared" si="24"/>
        <v>4.6072073614546342E-2</v>
      </c>
    </row>
    <row r="42" spans="1:46" x14ac:dyDescent="0.25">
      <c r="A42">
        <v>1997</v>
      </c>
      <c r="B42">
        <f>Data!C39</f>
        <v>41943151</v>
      </c>
      <c r="C42">
        <f>Data!S39</f>
        <v>41943151</v>
      </c>
      <c r="D42">
        <f t="shared" si="29"/>
        <v>1.0637093150892463</v>
      </c>
      <c r="E42">
        <f t="shared" si="20"/>
        <v>1.3842746400885935</v>
      </c>
      <c r="F42">
        <f t="shared" si="20"/>
        <v>1.0234000000000001</v>
      </c>
      <c r="G42" s="3">
        <f>Data!O39</f>
        <v>504.25</v>
      </c>
      <c r="H42" s="3">
        <f t="shared" si="35"/>
        <v>2736.2554249473392</v>
      </c>
      <c r="I42" s="15">
        <f>Data!Q39</f>
        <v>1</v>
      </c>
      <c r="J42" s="3">
        <f>Data!R39</f>
        <v>5.4263865640998299</v>
      </c>
      <c r="L42">
        <f>Data!I39*0.01*Data!C39</f>
        <v>2164138</v>
      </c>
      <c r="M42" s="3">
        <f>Data!H39*0.01*Data!C39/Data!O39</f>
        <v>23837</v>
      </c>
      <c r="N42">
        <f>Data!P39</f>
        <v>3004685</v>
      </c>
      <c r="O42">
        <f>1+Data!M39*0.01*Data!C39/Calculations!L41</f>
        <v>1.2975569384582362</v>
      </c>
      <c r="P42">
        <f>1+Data!L39*0.01*Data!C39/Data!O39/Calculations!M41</f>
        <v>1.060643265092774</v>
      </c>
      <c r="Q42">
        <f>Data!F39*0.01*Data!C39</f>
        <v>-1840773.434154667</v>
      </c>
      <c r="S42" s="6">
        <f t="shared" si="36"/>
        <v>2164138</v>
      </c>
      <c r="T42" s="13">
        <f t="shared" si="31"/>
        <v>2736.2554249473392</v>
      </c>
      <c r="U42" s="6">
        <f t="shared" si="37"/>
        <v>23837</v>
      </c>
      <c r="V42" s="11">
        <f t="shared" si="38"/>
        <v>3004685</v>
      </c>
      <c r="W42" s="6">
        <f t="shared" si="32"/>
        <v>-1840773.434154667</v>
      </c>
      <c r="X42" s="6">
        <f t="shared" si="34"/>
        <v>2889501</v>
      </c>
      <c r="Y42" s="6">
        <f t="shared" si="26"/>
        <v>26913.822851729139</v>
      </c>
      <c r="AA42">
        <v>1997</v>
      </c>
      <c r="AB42" s="13">
        <f t="shared" si="39"/>
        <v>5.1596934145457976E-2</v>
      </c>
      <c r="AC42" s="13">
        <f t="shared" si="9"/>
        <v>2736.2554249473392</v>
      </c>
      <c r="AD42" s="13">
        <f t="shared" si="33"/>
        <v>1.047321005002254E-4</v>
      </c>
      <c r="AE42" s="13">
        <f t="shared" si="40"/>
        <v>7.163708325108907E-2</v>
      </c>
      <c r="AF42" s="14">
        <f t="shared" si="41"/>
        <v>-3.9951924971824551E-2</v>
      </c>
      <c r="AG42" s="15">
        <f t="shared" si="42"/>
        <v>6.8890889957218523E-2</v>
      </c>
      <c r="AH42" s="15">
        <f t="shared" si="43"/>
        <v>9.2514489926466423E-5</v>
      </c>
      <c r="AI42" s="15">
        <f t="shared" si="44"/>
        <v>-4.3887342516413873E-2</v>
      </c>
      <c r="AJ42" s="15">
        <f t="shared" si="45"/>
        <v>0.13819461253814069</v>
      </c>
      <c r="AL42">
        <v>1997</v>
      </c>
      <c r="AM42" s="22">
        <f t="shared" si="46"/>
        <v>-2.6576183477305268E-2</v>
      </c>
      <c r="AN42" s="22">
        <f t="shared" si="47"/>
        <v>-4.5518883474478057E-2</v>
      </c>
      <c r="AO42" s="22">
        <f t="shared" si="48"/>
        <v>1.2809238915158221E-2</v>
      </c>
      <c r="AP42" s="23">
        <f t="shared" si="21"/>
        <v>1.8875919364106299E-2</v>
      </c>
      <c r="AQ42" s="24">
        <f t="shared" si="49"/>
        <v>-9.2859019375814231E-3</v>
      </c>
      <c r="AR42" s="24">
        <f t="shared" si="50"/>
        <v>-8.5286267580854287E-3</v>
      </c>
      <c r="AS42" s="24">
        <f t="shared" si="51"/>
        <v>-4.3887342516413873E-2</v>
      </c>
      <c r="AT42" s="24">
        <f t="shared" si="24"/>
        <v>2.1291962539561914E-2</v>
      </c>
    </row>
    <row r="43" spans="1:46" x14ac:dyDescent="0.25">
      <c r="A43">
        <v>1998</v>
      </c>
      <c r="B43">
        <f>Data!C40</f>
        <v>50012967</v>
      </c>
      <c r="C43">
        <f>Data!S40</f>
        <v>42066487</v>
      </c>
      <c r="D43">
        <f t="shared" si="29"/>
        <v>1.0029405516051952</v>
      </c>
      <c r="E43">
        <f t="shared" si="20"/>
        <v>1.1889000000000001</v>
      </c>
      <c r="F43">
        <f t="shared" si="20"/>
        <v>1.0155000000000001</v>
      </c>
      <c r="G43" s="3">
        <f>Data!O40</f>
        <v>564.5</v>
      </c>
      <c r="H43" s="3">
        <f t="shared" si="35"/>
        <v>2616.4309372307057</v>
      </c>
      <c r="I43" s="15">
        <f>Data!Q40</f>
        <v>1.1889000000000001</v>
      </c>
      <c r="J43" s="3">
        <f>Data!R40</f>
        <v>5.5104955558433772</v>
      </c>
      <c r="L43">
        <f>Data!I40*0.01*Data!C40</f>
        <v>2317604</v>
      </c>
      <c r="M43" s="3">
        <f>Data!H40*0.01*Data!C40/Data!O40</f>
        <v>23331.000000000004</v>
      </c>
      <c r="N43">
        <f>Data!P40</f>
        <v>3717323</v>
      </c>
      <c r="O43">
        <f>1+Data!M40*0.01*Data!C40/Calculations!L42</f>
        <v>1.1539301098173962</v>
      </c>
      <c r="P43">
        <f>1+Data!L40*0.01*Data!C40/Data!O40/Calculations!M42</f>
        <v>1.0707069359897274</v>
      </c>
      <c r="Q43">
        <f>Data!F40*0.01*Data!C40</f>
        <v>787149.00300109212</v>
      </c>
      <c r="S43" s="6">
        <f t="shared" si="36"/>
        <v>2317604</v>
      </c>
      <c r="T43" s="13">
        <f t="shared" si="31"/>
        <v>2616.4309372307057</v>
      </c>
      <c r="U43" s="6">
        <f t="shared" si="37"/>
        <v>23331.000000000004</v>
      </c>
      <c r="V43" s="11">
        <f t="shared" si="38"/>
        <v>3717323</v>
      </c>
      <c r="W43" s="6">
        <f t="shared" si="32"/>
        <v>787149.00300109212</v>
      </c>
      <c r="X43" s="6">
        <f t="shared" si="34"/>
        <v>2497264</v>
      </c>
      <c r="Y43" s="6">
        <f t="shared" si="26"/>
        <v>25522.441233187132</v>
      </c>
      <c r="AA43">
        <v>1998</v>
      </c>
      <c r="AB43" s="13">
        <f t="shared" si="39"/>
        <v>4.6340062168277282E-2</v>
      </c>
      <c r="AC43" s="13">
        <f t="shared" si="9"/>
        <v>2616.4309372307057</v>
      </c>
      <c r="AD43" s="13">
        <f t="shared" si="33"/>
        <v>1.0064830186619265E-4</v>
      </c>
      <c r="AE43" s="13">
        <f t="shared" si="40"/>
        <v>7.432718398810452E-2</v>
      </c>
      <c r="AF43" s="14">
        <f t="shared" si="41"/>
        <v>-6.0078264218579772E-2</v>
      </c>
      <c r="AG43" s="15">
        <f t="shared" si="42"/>
        <v>4.9932330549395318E-2</v>
      </c>
      <c r="AH43" s="15">
        <f t="shared" si="43"/>
        <v>1.0528050289573846E-4</v>
      </c>
      <c r="AI43" s="15">
        <f t="shared" si="44"/>
        <v>1.5738898334127869E-2</v>
      </c>
      <c r="AJ43" s="15">
        <f t="shared" si="45"/>
        <v>0.11506964929040883</v>
      </c>
      <c r="AL43">
        <v>1998</v>
      </c>
      <c r="AM43" s="22">
        <f t="shared" si="46"/>
        <v>-5.2568719771806938E-3</v>
      </c>
      <c r="AN43" s="22">
        <f t="shared" si="47"/>
        <v>-1.0684977087503777E-2</v>
      </c>
      <c r="AO43" s="22">
        <f t="shared" si="48"/>
        <v>2.6901007370154495E-3</v>
      </c>
      <c r="AP43" s="23">
        <f t="shared" si="21"/>
        <v>1.1558819032509299E-2</v>
      </c>
      <c r="AQ43" s="24">
        <f t="shared" si="49"/>
        <v>-1.6644831845261656E-3</v>
      </c>
      <c r="AR43" s="24">
        <f t="shared" si="50"/>
        <v>1.4050039319703247E-2</v>
      </c>
      <c r="AS43" s="24">
        <f t="shared" si="51"/>
        <v>1.5738898334127869E-2</v>
      </c>
      <c r="AT43" s="24">
        <f t="shared" si="24"/>
        <v>-2.9817383764464672E-2</v>
      </c>
    </row>
    <row r="44" spans="1:46" x14ac:dyDescent="0.25">
      <c r="A44">
        <v>1999</v>
      </c>
      <c r="B44">
        <f>Data!C41</f>
        <v>59344600</v>
      </c>
      <c r="C44">
        <f>Data!S41</f>
        <v>39554925</v>
      </c>
      <c r="D44">
        <f t="shared" si="29"/>
        <v>0.94029541853590004</v>
      </c>
      <c r="E44">
        <f t="shared" si="20"/>
        <v>1.2619227857683573</v>
      </c>
      <c r="F44">
        <f t="shared" si="20"/>
        <v>1.0219</v>
      </c>
      <c r="G44" s="3">
        <f>Data!O41</f>
        <v>648.25</v>
      </c>
      <c r="H44" s="3">
        <f t="shared" si="35"/>
        <v>2433.1196817774594</v>
      </c>
      <c r="I44" s="15">
        <f>Data!Q41</f>
        <v>1.5003</v>
      </c>
      <c r="J44" s="3">
        <f>Data!R41</f>
        <v>5.6311754085163477</v>
      </c>
      <c r="L44">
        <f>Data!I41*0.01*Data!C41</f>
        <v>3552559</v>
      </c>
      <c r="M44" s="3">
        <f>Data!H41*0.01*Data!C41/Data!O41</f>
        <v>22712</v>
      </c>
      <c r="N44">
        <f>Data!P41</f>
        <v>4909970</v>
      </c>
      <c r="O44">
        <f>1+Data!M41*0.01*Data!C41/Calculations!L43</f>
        <v>1.2217333073294661</v>
      </c>
      <c r="P44">
        <f>1+Data!L41*0.01*Data!C41/Data!O41/Calculations!M43</f>
        <v>1.0733828565878123</v>
      </c>
      <c r="Q44">
        <f>Data!F41*0.01*Data!C41</f>
        <v>-298814.95540401153</v>
      </c>
      <c r="S44" s="6">
        <f t="shared" si="36"/>
        <v>3552559</v>
      </c>
      <c r="T44" s="13">
        <f t="shared" si="31"/>
        <v>2433.1196817774594</v>
      </c>
      <c r="U44" s="6">
        <f t="shared" si="37"/>
        <v>22712</v>
      </c>
      <c r="V44" s="11">
        <f t="shared" si="38"/>
        <v>4909970</v>
      </c>
      <c r="W44" s="6">
        <f t="shared" si="32"/>
        <v>-298814.95540401153</v>
      </c>
      <c r="X44" s="6">
        <f t="shared" si="34"/>
        <v>2831494</v>
      </c>
      <c r="Y44" s="6">
        <f t="shared" si="26"/>
        <v>25043.095427050252</v>
      </c>
      <c r="AA44">
        <v>1999</v>
      </c>
      <c r="AB44" s="13">
        <f t="shared" si="39"/>
        <v>5.9863222601550942E-2</v>
      </c>
      <c r="AC44" s="13">
        <f t="shared" si="9"/>
        <v>2433.1196817774594</v>
      </c>
      <c r="AD44" s="13">
        <f t="shared" si="33"/>
        <v>1.0196608821040807E-4</v>
      </c>
      <c r="AE44" s="13">
        <f t="shared" si="40"/>
        <v>8.2736592714417148E-2</v>
      </c>
      <c r="AF44" s="14">
        <f t="shared" si="41"/>
        <v>-6.263983092832108E-2</v>
      </c>
      <c r="AG44" s="15">
        <f t="shared" si="42"/>
        <v>4.7712748927450851E-2</v>
      </c>
      <c r="AH44" s="15">
        <f t="shared" si="43"/>
        <v>1.0455446485635622E-4</v>
      </c>
      <c r="AI44" s="15">
        <f t="shared" si="44"/>
        <v>-5.0352509816227855E-3</v>
      </c>
      <c r="AJ44" s="15">
        <f t="shared" si="45"/>
        <v>0.16255955992181514</v>
      </c>
      <c r="AL44">
        <v>1999</v>
      </c>
      <c r="AM44" s="22">
        <f t="shared" si="46"/>
        <v>1.3523160433273659E-2</v>
      </c>
      <c r="AN44" s="22">
        <f t="shared" si="47"/>
        <v>3.2063318904881144E-3</v>
      </c>
      <c r="AO44" s="22">
        <f t="shared" si="48"/>
        <v>8.4094087263126283E-3</v>
      </c>
      <c r="AP44" s="23">
        <f t="shared" si="21"/>
        <v>1.168735305978344E-2</v>
      </c>
      <c r="AQ44" s="24">
        <f t="shared" si="49"/>
        <v>1.3728499016600383E-3</v>
      </c>
      <c r="AR44" s="24">
        <f t="shared" si="50"/>
        <v>2.8670172267658636E-2</v>
      </c>
      <c r="AS44" s="24">
        <f t="shared" si="51"/>
        <v>-5.0352509816227855E-3</v>
      </c>
      <c r="AT44" s="24">
        <f t="shared" si="24"/>
        <v>1.1818482922161953E-2</v>
      </c>
    </row>
    <row r="45" spans="1:46" x14ac:dyDescent="0.25">
      <c r="A45">
        <v>2000</v>
      </c>
      <c r="B45">
        <f>Data!C42</f>
        <v>79655692</v>
      </c>
      <c r="C45">
        <f>Data!S42</f>
        <v>41013293</v>
      </c>
      <c r="D45">
        <f t="shared" si="29"/>
        <v>1.0368694416687683</v>
      </c>
      <c r="E45">
        <f t="shared" si="20"/>
        <v>1.2945410917816436</v>
      </c>
      <c r="F45">
        <f t="shared" si="20"/>
        <v>1.0338000000000001</v>
      </c>
      <c r="G45" s="3">
        <f>Data!O42</f>
        <v>700</v>
      </c>
      <c r="H45" s="3">
        <f t="shared" si="35"/>
        <v>2098.1651715204102</v>
      </c>
      <c r="I45" s="15">
        <f>Data!Q42</f>
        <v>1.9421999999999999</v>
      </c>
      <c r="J45" s="3">
        <f>Data!R42</f>
        <v>5.8215091373242007</v>
      </c>
      <c r="L45">
        <f>Data!I42*0.01*Data!C42</f>
        <v>7002662</v>
      </c>
      <c r="M45" s="3">
        <f>Data!H42*0.01*Data!C42/Data!O42</f>
        <v>21899</v>
      </c>
      <c r="N45">
        <f>Data!P42</f>
        <v>5790841</v>
      </c>
      <c r="O45">
        <f>1+Data!M42*0.01*Data!C42/Calculations!L44</f>
        <v>1.2526556209200186</v>
      </c>
      <c r="P45">
        <f>1+Data!L42*0.01*Data!C42/Data!O42/Calculations!M44</f>
        <v>1.0760844089617045</v>
      </c>
      <c r="Q45">
        <f>Data!F42*0.01*Data!C42</f>
        <v>-564830.20721804269</v>
      </c>
      <c r="S45" s="6">
        <f t="shared" si="36"/>
        <v>7002662</v>
      </c>
      <c r="T45" s="13">
        <f t="shared" si="31"/>
        <v>2098.1651715204102</v>
      </c>
      <c r="U45" s="6">
        <f t="shared" si="37"/>
        <v>21899</v>
      </c>
      <c r="V45" s="11">
        <f t="shared" si="38"/>
        <v>5790841</v>
      </c>
      <c r="W45" s="6">
        <f t="shared" si="32"/>
        <v>-564830.20721804269</v>
      </c>
      <c r="X45" s="6">
        <f t="shared" si="34"/>
        <v>4450133</v>
      </c>
      <c r="Y45" s="6">
        <f t="shared" si="26"/>
        <v>24440.029096338232</v>
      </c>
      <c r="AA45">
        <v>2000</v>
      </c>
      <c r="AB45" s="13">
        <f t="shared" si="39"/>
        <v>8.7911633483769125E-2</v>
      </c>
      <c r="AC45" s="13">
        <f t="shared" si="9"/>
        <v>2098.1651715204102</v>
      </c>
      <c r="AD45" s="13">
        <f t="shared" si="33"/>
        <v>9.1720002836626831E-5</v>
      </c>
      <c r="AE45" s="13">
        <f t="shared" si="40"/>
        <v>7.2698395489427164E-2</v>
      </c>
      <c r="AF45" s="14">
        <f t="shared" si="41"/>
        <v>-6.1639302531431704E-2</v>
      </c>
      <c r="AG45" s="15">
        <f t="shared" si="42"/>
        <v>5.5867106144781215E-2</v>
      </c>
      <c r="AH45" s="15">
        <f t="shared" si="43"/>
        <v>8.827092881414862E-5</v>
      </c>
      <c r="AI45" s="15">
        <f t="shared" si="44"/>
        <v>-7.0908957418641559E-3</v>
      </c>
      <c r="AJ45" s="15">
        <f t="shared" si="45"/>
        <v>0.1734765701757334</v>
      </c>
      <c r="AL45">
        <v>2000</v>
      </c>
      <c r="AM45" s="22">
        <f t="shared" si="46"/>
        <v>2.8048410882218183E-2</v>
      </c>
      <c r="AN45" s="22">
        <f t="shared" si="47"/>
        <v>-2.1497979475692486E-2</v>
      </c>
      <c r="AO45" s="22">
        <f t="shared" si="48"/>
        <v>-1.0038197224989984E-2</v>
      </c>
      <c r="AP45" s="23">
        <f t="shared" si="21"/>
        <v>2.1097290182985444E-2</v>
      </c>
      <c r="AQ45" s="24">
        <f t="shared" si="49"/>
        <v>-3.9966706079322817E-3</v>
      </c>
      <c r="AR45" s="24">
        <f t="shared" si="50"/>
        <v>8.3203926722596989E-4</v>
      </c>
      <c r="AS45" s="24">
        <f t="shared" si="51"/>
        <v>-7.0908957418641559E-3</v>
      </c>
      <c r="AT45" s="24">
        <f t="shared" si="24"/>
        <v>2.7865051447091626E-2</v>
      </c>
    </row>
    <row r="46" spans="1:46" x14ac:dyDescent="0.25">
      <c r="A46">
        <v>2001</v>
      </c>
      <c r="B46">
        <f>Data!C43</f>
        <v>88945596</v>
      </c>
      <c r="C46">
        <f>Data!S43</f>
        <v>42405381</v>
      </c>
      <c r="D46">
        <f t="shared" si="29"/>
        <v>1.033942361077907</v>
      </c>
      <c r="E46">
        <f t="shared" si="20"/>
        <v>1.0799608691174958</v>
      </c>
      <c r="F46">
        <f t="shared" si="20"/>
        <v>1.0283</v>
      </c>
      <c r="G46" s="3">
        <f>Data!O43</f>
        <v>763</v>
      </c>
      <c r="H46" s="3">
        <f t="shared" si="35"/>
        <v>2177.59939758269</v>
      </c>
      <c r="I46" s="15">
        <f>Data!Q43</f>
        <v>2.0975000000000001</v>
      </c>
      <c r="J46" s="3">
        <f>Data!R43</f>
        <v>5.9862578459104752</v>
      </c>
      <c r="L46">
        <f>Data!I43*0.01*Data!C43</f>
        <v>10769805</v>
      </c>
      <c r="M46" s="3">
        <f>Data!H43*0.01*Data!C43/Data!O43</f>
        <v>22530</v>
      </c>
      <c r="N46">
        <f>Data!P43</f>
        <v>6478295</v>
      </c>
      <c r="O46">
        <f>1+Data!M43*0.01*Data!C43/Calculations!L45</f>
        <v>1.1929757569335775</v>
      </c>
      <c r="P46">
        <f>1+Data!L43*0.01*Data!C43/Data!O43/Calculations!M45</f>
        <v>1.0804294334601965</v>
      </c>
      <c r="Q46">
        <f>Data!F43*0.01*Data!C43</f>
        <v>1558579.8974151574</v>
      </c>
      <c r="S46" s="6">
        <f t="shared" si="36"/>
        <v>10769805</v>
      </c>
      <c r="T46" s="13">
        <f t="shared" si="31"/>
        <v>2177.59939758269</v>
      </c>
      <c r="U46" s="6">
        <f t="shared" si="37"/>
        <v>22530</v>
      </c>
      <c r="V46" s="11">
        <f t="shared" si="38"/>
        <v>6478295</v>
      </c>
      <c r="W46" s="6">
        <f t="shared" si="32"/>
        <v>1558579.8974151574</v>
      </c>
      <c r="X46" s="6">
        <f t="shared" si="34"/>
        <v>8354006</v>
      </c>
      <c r="Y46" s="6">
        <f t="shared" si="26"/>
        <v>23660.324163344842</v>
      </c>
      <c r="AA46">
        <v>2001</v>
      </c>
      <c r="AB46" s="13">
        <f t="shared" si="39"/>
        <v>0.1210830607060073</v>
      </c>
      <c r="AC46" s="13">
        <f t="shared" si="9"/>
        <v>2177.59939758269</v>
      </c>
      <c r="AD46" s="13">
        <f t="shared" si="33"/>
        <v>8.8753359888214345E-5</v>
      </c>
      <c r="AE46" s="13">
        <f t="shared" si="40"/>
        <v>7.2834353709879007E-2</v>
      </c>
      <c r="AF46" s="14">
        <f t="shared" si="41"/>
        <v>-6.5105919532799109E-2</v>
      </c>
      <c r="AG46" s="15">
        <f t="shared" si="42"/>
        <v>9.392264907640846E-2</v>
      </c>
      <c r="AH46" s="15">
        <f t="shared" si="43"/>
        <v>9.6734772734074955E-5</v>
      </c>
      <c r="AI46" s="15">
        <f t="shared" si="44"/>
        <v>1.7522845059300716E-2</v>
      </c>
      <c r="AJ46" s="15">
        <f t="shared" si="45"/>
        <v>0.14756985840013037</v>
      </c>
      <c r="AL46">
        <v>2001</v>
      </c>
      <c r="AM46" s="22">
        <f t="shared" si="46"/>
        <v>3.3171427222238176E-2</v>
      </c>
      <c r="AN46" s="22">
        <f t="shared" si="47"/>
        <v>-6.4601598973059639E-3</v>
      </c>
      <c r="AO46" s="22">
        <f t="shared" si="48"/>
        <v>1.359582204518428E-4</v>
      </c>
      <c r="AP46" s="23">
        <f t="shared" si="21"/>
        <v>7.5924759566280559E-3</v>
      </c>
      <c r="AQ46" s="24">
        <f t="shared" si="49"/>
        <v>6.011726251461221E-3</v>
      </c>
      <c r="AR46" s="24">
        <f t="shared" si="50"/>
        <v>3.2361081022570857E-3</v>
      </c>
      <c r="AS46" s="24">
        <f t="shared" si="51"/>
        <v>1.7522845059300716E-2</v>
      </c>
      <c r="AT46" s="24">
        <f t="shared" si="24"/>
        <v>7.6690220889930882E-3</v>
      </c>
    </row>
    <row r="47" spans="1:46" x14ac:dyDescent="0.25">
      <c r="A47">
        <v>2002</v>
      </c>
      <c r="B47">
        <f>Data!C44</f>
        <v>107840166</v>
      </c>
      <c r="C47">
        <f>Data!S44</f>
        <v>38650110</v>
      </c>
      <c r="D47">
        <f t="shared" si="29"/>
        <v>0.9114435264713221</v>
      </c>
      <c r="E47">
        <f t="shared" si="20"/>
        <v>1.3302502979737783</v>
      </c>
      <c r="F47">
        <f t="shared" si="20"/>
        <v>1.0159</v>
      </c>
      <c r="G47" s="3">
        <f>Data!O44</f>
        <v>1401</v>
      </c>
      <c r="H47" s="3">
        <f t="shared" si="35"/>
        <v>3053.579142452259</v>
      </c>
      <c r="I47" s="15">
        <f>Data!Q44</f>
        <v>2.7902</v>
      </c>
      <c r="J47" s="3">
        <f>Data!R44</f>
        <v>6.0814393456604519</v>
      </c>
      <c r="L47">
        <f>Data!I44*0.01*Data!C44</f>
        <v>15958078</v>
      </c>
      <c r="M47" s="3">
        <f>Data!H44*0.01*Data!C44/Data!O44</f>
        <v>22470</v>
      </c>
      <c r="N47">
        <f>Data!P44</f>
        <v>7701119.5</v>
      </c>
      <c r="O47">
        <f>1+Data!M44*0.01*Data!C44/Calculations!L46</f>
        <v>1.2790211150526867</v>
      </c>
      <c r="P47">
        <f>1+Data!L44*0.01*Data!C44/Data!O44/Calculations!M46</f>
        <v>1.0709699439622979</v>
      </c>
      <c r="Q47">
        <f>Data!F44*0.01*Data!C44</f>
        <v>373621.53354811482</v>
      </c>
      <c r="S47" s="6">
        <f t="shared" si="36"/>
        <v>15958078</v>
      </c>
      <c r="T47" s="13">
        <f t="shared" si="31"/>
        <v>3053.579142452259</v>
      </c>
      <c r="U47" s="6">
        <f t="shared" si="37"/>
        <v>22470</v>
      </c>
      <c r="V47" s="11">
        <f t="shared" si="38"/>
        <v>7701119.5</v>
      </c>
      <c r="W47" s="6">
        <f t="shared" si="32"/>
        <v>373621.53354811482</v>
      </c>
      <c r="X47" s="6">
        <f t="shared" si="34"/>
        <v>13774808</v>
      </c>
      <c r="Y47" s="6">
        <f t="shared" si="26"/>
        <v>24128.952837470573</v>
      </c>
      <c r="AA47">
        <v>2002</v>
      </c>
      <c r="AB47" s="13">
        <f t="shared" si="39"/>
        <v>0.14797898215401487</v>
      </c>
      <c r="AC47" s="13">
        <f t="shared" si="9"/>
        <v>3053.579142452259</v>
      </c>
      <c r="AD47" s="13">
        <f t="shared" si="33"/>
        <v>9.5597373100457809E-5</v>
      </c>
      <c r="AE47" s="13">
        <f t="shared" si="40"/>
        <v>7.1412348345235299E-2</v>
      </c>
      <c r="AF47" s="14">
        <f t="shared" si="41"/>
        <v>-6.0072145236544819E-2</v>
      </c>
      <c r="AG47" s="15">
        <f t="shared" si="42"/>
        <v>0.12773355708669812</v>
      </c>
      <c r="AH47" s="15">
        <f t="shared" si="43"/>
        <v>1.4395029309109184E-4</v>
      </c>
      <c r="AI47" s="15">
        <f t="shared" si="44"/>
        <v>3.4645860388244844E-3</v>
      </c>
      <c r="AJ47" s="15">
        <f t="shared" si="45"/>
        <v>0.14821697969028175</v>
      </c>
      <c r="AL47">
        <v>2002</v>
      </c>
      <c r="AM47" s="22">
        <f t="shared" si="46"/>
        <v>2.6895921448007565E-2</v>
      </c>
      <c r="AN47" s="22">
        <f t="shared" si="47"/>
        <v>2.0898735995574329E-2</v>
      </c>
      <c r="AO47" s="22">
        <f t="shared" si="48"/>
        <v>-1.4220053646437081E-3</v>
      </c>
      <c r="AP47" s="23">
        <f t="shared" si="21"/>
        <v>1.2762208473334188E-2</v>
      </c>
      <c r="AQ47" s="24">
        <f t="shared" si="49"/>
        <v>6.6484283326239246E-3</v>
      </c>
      <c r="AR47" s="24">
        <f t="shared" si="50"/>
        <v>4.2450662939802902E-2</v>
      </c>
      <c r="AS47" s="24">
        <f t="shared" si="51"/>
        <v>3.4645860388244844E-3</v>
      </c>
      <c r="AT47" s="24">
        <f t="shared" si="24"/>
        <v>6.5711832410210655E-3</v>
      </c>
    </row>
    <row r="48" spans="1:46" x14ac:dyDescent="0.25">
      <c r="A48">
        <v>2003</v>
      </c>
      <c r="B48">
        <f>Data!C45</f>
        <v>134227833</v>
      </c>
      <c r="C48">
        <f>Data!S45</f>
        <v>35652678</v>
      </c>
      <c r="D48">
        <f t="shared" si="29"/>
        <v>0.92244699950401177</v>
      </c>
      <c r="E48">
        <f t="shared" si="20"/>
        <v>1.3493297971471578</v>
      </c>
      <c r="F48">
        <f t="shared" si="20"/>
        <v>1.0226999999999999</v>
      </c>
      <c r="G48" s="3">
        <f>Data!O45</f>
        <v>1598</v>
      </c>
      <c r="H48" s="3">
        <f t="shared" si="35"/>
        <v>2639.8421881201352</v>
      </c>
      <c r="I48" s="15">
        <f>Data!Q45</f>
        <v>3.7648999999999999</v>
      </c>
      <c r="J48" s="3">
        <f>Data!R45</f>
        <v>6.2194880188069437</v>
      </c>
      <c r="L48">
        <f>Data!I45*0.01*Data!C45</f>
        <v>23792313.000000004</v>
      </c>
      <c r="M48" s="3">
        <f>Data!H45*0.01*Data!C45/Data!O45</f>
        <v>24794</v>
      </c>
      <c r="N48">
        <f>Data!P45</f>
        <v>11046649.91</v>
      </c>
      <c r="O48">
        <f>1+Data!M45*0.01*Data!C45/Calculations!L47</f>
        <v>1.2390938933874116</v>
      </c>
      <c r="P48">
        <f>1+Data!L45*0.01*Data!C45/Data!O45/Calculations!M47</f>
        <v>1.0760222860739528</v>
      </c>
      <c r="Q48">
        <f>Data!F45*0.01*Data!C45</f>
        <v>845319.50077653304</v>
      </c>
      <c r="S48" s="6">
        <f t="shared" si="36"/>
        <v>23792313.000000004</v>
      </c>
      <c r="T48" s="13">
        <f t="shared" si="31"/>
        <v>2639.8421881201352</v>
      </c>
      <c r="U48" s="6">
        <f t="shared" si="37"/>
        <v>24794</v>
      </c>
      <c r="V48" s="11">
        <f t="shared" si="38"/>
        <v>11046649.91</v>
      </c>
      <c r="W48" s="6">
        <f t="shared" si="32"/>
        <v>845319.50077653304</v>
      </c>
      <c r="X48" s="6">
        <f t="shared" si="34"/>
        <v>19773557</v>
      </c>
      <c r="Y48" s="6">
        <f t="shared" si="26"/>
        <v>24178.220768081719</v>
      </c>
      <c r="AA48">
        <v>2003</v>
      </c>
      <c r="AB48" s="13">
        <f t="shared" si="39"/>
        <v>0.17725320053405022</v>
      </c>
      <c r="AC48" s="13">
        <f t="shared" si="9"/>
        <v>2639.8421881201352</v>
      </c>
      <c r="AD48" s="13">
        <f t="shared" si="33"/>
        <v>1.1181493212736306E-4</v>
      </c>
      <c r="AE48" s="13">
        <f t="shared" si="40"/>
        <v>8.2297759437120616E-2</v>
      </c>
      <c r="AF48" s="14">
        <f t="shared" si="41"/>
        <v>-5.7373821944469376E-2</v>
      </c>
      <c r="AG48" s="15">
        <f t="shared" si="42"/>
        <v>0.14731338916869796</v>
      </c>
      <c r="AH48" s="15">
        <f t="shared" si="43"/>
        <v>9.4264101232700178E-5</v>
      </c>
      <c r="AI48" s="15">
        <f t="shared" si="44"/>
        <v>6.2976469327083087E-3</v>
      </c>
      <c r="AJ48" s="15">
        <f t="shared" si="45"/>
        <v>0.1633312966451286</v>
      </c>
      <c r="AL48">
        <v>2003</v>
      </c>
      <c r="AM48" s="22">
        <f t="shared" si="46"/>
        <v>2.9274218380035355E-2</v>
      </c>
      <c r="AN48" s="22">
        <f t="shared" si="47"/>
        <v>4.2811796507553006E-2</v>
      </c>
      <c r="AO48" s="22">
        <f t="shared" si="48"/>
        <v>1.0885411091885316E-2</v>
      </c>
      <c r="AP48" s="23">
        <f t="shared" si="21"/>
        <v>1.4038526400765923E-2</v>
      </c>
      <c r="AQ48" s="24">
        <f t="shared" si="49"/>
        <v>-6.6474575931718303E-4</v>
      </c>
      <c r="AR48" s="24">
        <f t="shared" si="50"/>
        <v>3.5480914822132031E-2</v>
      </c>
      <c r="AS48" s="24">
        <f t="shared" si="51"/>
        <v>6.2976469327083087E-3</v>
      </c>
      <c r="AT48" s="24">
        <f t="shared" si="24"/>
        <v>5.5896136384716438E-2</v>
      </c>
    </row>
    <row r="49" spans="1:46" x14ac:dyDescent="0.25">
      <c r="A49">
        <v>2004</v>
      </c>
      <c r="B49">
        <f>Data!C46</f>
        <v>212683082</v>
      </c>
      <c r="C49">
        <f>Data!S46</f>
        <v>42172343</v>
      </c>
      <c r="D49">
        <f t="shared" si="29"/>
        <v>1.1828660668912445</v>
      </c>
      <c r="E49">
        <f t="shared" si="20"/>
        <v>1.3395309304363994</v>
      </c>
      <c r="F49">
        <f t="shared" si="20"/>
        <v>1.0267999999999999</v>
      </c>
      <c r="G49" s="3">
        <f>Data!O46</f>
        <v>1918</v>
      </c>
      <c r="H49" s="3">
        <f t="shared" si="35"/>
        <v>2428.7505216944878</v>
      </c>
      <c r="I49" s="15">
        <f>Data!Q46</f>
        <v>5.0431999999999997</v>
      </c>
      <c r="J49" s="3">
        <f>Data!R46</f>
        <v>6.3861702977109696</v>
      </c>
      <c r="L49">
        <f>Data!I46*0.01*Data!C46</f>
        <v>29526919</v>
      </c>
      <c r="M49" s="3">
        <f>Data!H46*0.01*Data!C46/Data!O46</f>
        <v>27475.000000000004</v>
      </c>
      <c r="N49">
        <f>Data!P46</f>
        <v>17092000</v>
      </c>
      <c r="O49">
        <f>1+Data!M46*0.01*Data!C46/Calculations!L48</f>
        <v>1.1616820525183911</v>
      </c>
      <c r="P49">
        <f>1+Data!L46*0.01*Data!C46/Data!O46/Calculations!M48</f>
        <v>1.0730878911826256</v>
      </c>
      <c r="Q49">
        <f>Data!F46*0.01*Data!C46</f>
        <v>-2931428.1514925095</v>
      </c>
      <c r="S49" s="6">
        <f t="shared" si="36"/>
        <v>29526919</v>
      </c>
      <c r="T49" s="13">
        <f t="shared" si="31"/>
        <v>2428.7505216944878</v>
      </c>
      <c r="U49" s="6">
        <f t="shared" si="37"/>
        <v>27475.000000000004</v>
      </c>
      <c r="V49" s="11">
        <f t="shared" si="38"/>
        <v>17092000</v>
      </c>
      <c r="W49" s="6">
        <f t="shared" si="32"/>
        <v>-2931428.1514925095</v>
      </c>
      <c r="X49" s="6">
        <f t="shared" si="34"/>
        <v>27639103.000000004</v>
      </c>
      <c r="Y49" s="6">
        <f t="shared" si="26"/>
        <v>26606.141173982018</v>
      </c>
      <c r="AA49">
        <v>2004</v>
      </c>
      <c r="AB49" s="13">
        <f t="shared" si="39"/>
        <v>0.13883059584400795</v>
      </c>
      <c r="AC49" s="13">
        <f t="shared" si="9"/>
        <v>2428.7505216944878</v>
      </c>
      <c r="AD49" s="13">
        <f t="shared" si="33"/>
        <v>1.0201627821991199E-4</v>
      </c>
      <c r="AE49" s="13">
        <f t="shared" si="40"/>
        <v>8.0363702835564516E-2</v>
      </c>
      <c r="AF49" s="14">
        <f t="shared" si="41"/>
        <v>-5.1939730545724302E-2</v>
      </c>
      <c r="AG49" s="15">
        <f t="shared" si="42"/>
        <v>0.12995440323739527</v>
      </c>
      <c r="AH49" s="15">
        <f t="shared" si="43"/>
        <v>9.08905240032778E-5</v>
      </c>
      <c r="AI49" s="15">
        <f t="shared" si="44"/>
        <v>-1.3783081023306356E-2</v>
      </c>
      <c r="AJ49" s="15">
        <f t="shared" si="45"/>
        <v>0.15497383276542448</v>
      </c>
      <c r="AL49">
        <v>2004</v>
      </c>
      <c r="AM49" s="22">
        <f t="shared" si="46"/>
        <v>-3.8422604690042272E-2</v>
      </c>
      <c r="AN49" s="22">
        <f t="shared" si="47"/>
        <v>-2.3798485789625522E-2</v>
      </c>
      <c r="AO49" s="22">
        <f t="shared" si="48"/>
        <v>-1.9340566015561E-3</v>
      </c>
      <c r="AP49" s="23">
        <f t="shared" si="21"/>
        <v>3.0358028891396313E-2</v>
      </c>
      <c r="AQ49" s="24">
        <f t="shared" si="49"/>
        <v>-4.7298184846808228E-2</v>
      </c>
      <c r="AR49" s="24">
        <f t="shared" si="50"/>
        <v>-3.1633934973368208E-2</v>
      </c>
      <c r="AS49" s="24">
        <f t="shared" si="51"/>
        <v>-1.3783081023306356E-2</v>
      </c>
      <c r="AT49" s="24">
        <f t="shared" si="24"/>
        <v>5.891808265365521E-2</v>
      </c>
    </row>
    <row r="50" spans="1:46" x14ac:dyDescent="0.25">
      <c r="A50">
        <v>2005</v>
      </c>
      <c r="B50">
        <f>Data!C47</f>
        <v>304086815</v>
      </c>
      <c r="C50">
        <f>Data!S47</f>
        <v>46523649</v>
      </c>
      <c r="D50">
        <f t="shared" si="29"/>
        <v>1.1031791380431484</v>
      </c>
      <c r="E50">
        <f t="shared" si="20"/>
        <v>1.2960421954314723</v>
      </c>
      <c r="F50">
        <f t="shared" si="20"/>
        <v>1.0339</v>
      </c>
      <c r="G50" s="3">
        <f>Data!O47</f>
        <v>2147</v>
      </c>
      <c r="H50" s="3">
        <f t="shared" si="35"/>
        <v>2168.8311523231905</v>
      </c>
      <c r="I50" s="15">
        <f>Data!Q47</f>
        <v>6.5362</v>
      </c>
      <c r="J50" s="3">
        <f>Data!R47</f>
        <v>6.6026614708033717</v>
      </c>
      <c r="L50">
        <f>Data!I47*0.01*Data!C47</f>
        <v>33423385</v>
      </c>
      <c r="M50" s="3">
        <f>Data!H47*0.01*Data!C47/Data!O47</f>
        <v>31198.999999999996</v>
      </c>
      <c r="N50">
        <f>Data!P47</f>
        <v>23344000</v>
      </c>
      <c r="O50">
        <f>1+Data!M47*0.01*Data!C47/Calculations!L49</f>
        <v>1.1334330886334603</v>
      </c>
      <c r="P50">
        <f>1+Data!L47*0.01*Data!C47/Data!O47/Calculations!M49</f>
        <v>1.0820728455185444</v>
      </c>
      <c r="Q50">
        <f>Data!F47*0.01*Data!C47</f>
        <v>-13879794.000000002</v>
      </c>
      <c r="S50" s="6">
        <f t="shared" si="36"/>
        <v>33423385</v>
      </c>
      <c r="T50" s="13">
        <f t="shared" si="31"/>
        <v>2168.8311523231905</v>
      </c>
      <c r="U50" s="6">
        <f t="shared" si="37"/>
        <v>31198.999999999996</v>
      </c>
      <c r="V50" s="11">
        <f t="shared" si="38"/>
        <v>23344000</v>
      </c>
      <c r="W50" s="6">
        <f t="shared" si="32"/>
        <v>-13879794.000000002</v>
      </c>
      <c r="X50" s="6">
        <f t="shared" si="34"/>
        <v>33466787</v>
      </c>
      <c r="Y50" s="6">
        <f t="shared" si="26"/>
        <v>29729.951430622012</v>
      </c>
      <c r="AA50">
        <v>2005</v>
      </c>
      <c r="AB50" s="13">
        <f t="shared" si="39"/>
        <v>0.10991395664425635</v>
      </c>
      <c r="AC50" s="13">
        <f t="shared" si="9"/>
        <v>2168.8311523231905</v>
      </c>
      <c r="AD50" s="13">
        <f t="shared" si="33"/>
        <v>1.0156588865104753E-4</v>
      </c>
      <c r="AE50" s="13">
        <f t="shared" si="40"/>
        <v>7.6767550740402868E-2</v>
      </c>
      <c r="AF50" s="14">
        <f t="shared" si="41"/>
        <v>-5.6207563205762825E-2</v>
      </c>
      <c r="AG50" s="15">
        <f t="shared" si="42"/>
        <v>0.11005668562117697</v>
      </c>
      <c r="AH50" s="15">
        <f t="shared" si="43"/>
        <v>8.6425964343167915E-5</v>
      </c>
      <c r="AI50" s="15">
        <f t="shared" si="44"/>
        <v>-4.564418223789151E-2</v>
      </c>
      <c r="AJ50" s="15">
        <f t="shared" si="45"/>
        <v>0.17849170713144449</v>
      </c>
      <c r="AL50">
        <v>2005</v>
      </c>
      <c r="AM50" s="22">
        <f t="shared" si="46"/>
        <v>-2.8916639199751598E-2</v>
      </c>
      <c r="AN50" s="22">
        <f t="shared" si="47"/>
        <v>-9.7681892763464267E-4</v>
      </c>
      <c r="AO50" s="22">
        <f t="shared" si="48"/>
        <v>-3.5961520951616477E-3</v>
      </c>
      <c r="AP50" s="23">
        <f t="shared" si="21"/>
        <v>2.415613962980169E-2</v>
      </c>
      <c r="AQ50" s="24">
        <f t="shared" si="49"/>
        <v>-2.8774046253772636E-2</v>
      </c>
      <c r="AR50" s="24">
        <f t="shared" si="50"/>
        <v>-1.1348976260996665E-2</v>
      </c>
      <c r="AS50" s="24">
        <f t="shared" si="51"/>
        <v>-4.564418223789151E-2</v>
      </c>
      <c r="AT50" s="24">
        <f t="shared" si="24"/>
        <v>7.6433734159914613E-2</v>
      </c>
    </row>
    <row r="51" spans="1:46" x14ac:dyDescent="0.25">
      <c r="A51">
        <v>2006</v>
      </c>
      <c r="B51">
        <f>Data!C48</f>
        <v>393926240</v>
      </c>
      <c r="C51">
        <f>Data!S48</f>
        <v>51116533</v>
      </c>
      <c r="D51">
        <f t="shared" si="29"/>
        <v>1.0987214910851038</v>
      </c>
      <c r="E51">
        <f t="shared" si="20"/>
        <v>1.1790336892995932</v>
      </c>
      <c r="F51">
        <f t="shared" si="20"/>
        <v>1.0322594</v>
      </c>
      <c r="G51" s="3">
        <f>Data!O48</f>
        <v>2147</v>
      </c>
      <c r="H51" s="3">
        <f t="shared" si="35"/>
        <v>1898.8400113727082</v>
      </c>
      <c r="I51" s="15">
        <f>Data!Q48</f>
        <v>7.7064000000000004</v>
      </c>
      <c r="J51" s="3">
        <f>Data!R48</f>
        <v>6.8156593682546065</v>
      </c>
      <c r="L51">
        <f>Data!I48*0.01*Data!C48</f>
        <v>36258536</v>
      </c>
      <c r="M51" s="3">
        <f>Data!H48*0.01*Data!C48/Data!O48</f>
        <v>27252.000000000004</v>
      </c>
      <c r="N51">
        <f>Data!P48</f>
        <v>44318000</v>
      </c>
      <c r="O51">
        <f>1+Data!M48*0.01*Data!C48/Calculations!L50</f>
        <v>1.0871421610946945</v>
      </c>
      <c r="P51">
        <f>1+Data!L48*0.01*Data!C48/Data!O48/Calculations!M50</f>
        <v>1.0774383794352382</v>
      </c>
      <c r="Q51">
        <f>Data!F48*0.01*Data!C48</f>
        <v>-8228461.9999999991</v>
      </c>
      <c r="S51" s="6">
        <f t="shared" si="36"/>
        <v>36258536</v>
      </c>
      <c r="T51" s="13">
        <f t="shared" si="31"/>
        <v>1898.8400113727082</v>
      </c>
      <c r="U51" s="6">
        <f t="shared" si="37"/>
        <v>27252.000000000004</v>
      </c>
      <c r="V51" s="11">
        <f t="shared" si="38"/>
        <v>44318000</v>
      </c>
      <c r="W51" s="6">
        <f t="shared" si="32"/>
        <v>-8228461.9999999991</v>
      </c>
      <c r="X51" s="6">
        <f t="shared" si="34"/>
        <v>36335971</v>
      </c>
      <c r="Y51" s="6">
        <f t="shared" si="26"/>
        <v>33614.999999999993</v>
      </c>
      <c r="AA51">
        <v>2006</v>
      </c>
      <c r="AB51" s="13">
        <f t="shared" si="39"/>
        <v>9.2043972495967769E-2</v>
      </c>
      <c r="AC51" s="13">
        <f t="shared" si="9"/>
        <v>1898.8400113727082</v>
      </c>
      <c r="AD51" s="13">
        <f t="shared" si="33"/>
        <v>7.8222035517946302E-5</v>
      </c>
      <c r="AE51" s="13">
        <f t="shared" si="40"/>
        <v>0.11250329503310061</v>
      </c>
      <c r="AF51" s="14">
        <f t="shared" si="41"/>
        <v>-5.9260300668524432E-2</v>
      </c>
      <c r="AG51" s="15">
        <f t="shared" si="42"/>
        <v>9.2240544828899942E-2</v>
      </c>
      <c r="AH51" s="15">
        <f t="shared" si="43"/>
        <v>8.4474665380908918E-5</v>
      </c>
      <c r="AI51" s="15">
        <f t="shared" si="44"/>
        <v>-2.0888331785158559E-2</v>
      </c>
      <c r="AJ51" s="15">
        <f t="shared" si="45"/>
        <v>0.19244910252398847</v>
      </c>
      <c r="AL51">
        <v>2006</v>
      </c>
      <c r="AM51" s="22">
        <f t="shared" si="46"/>
        <v>-1.7869984148288581E-2</v>
      </c>
      <c r="AN51" s="22">
        <f t="shared" si="47"/>
        <v>-4.4326242348740767E-2</v>
      </c>
      <c r="AO51" s="22">
        <f t="shared" si="48"/>
        <v>3.5735744292697741E-2</v>
      </c>
      <c r="AP51" s="23">
        <f t="shared" si="21"/>
        <v>1.7507250071878436E-2</v>
      </c>
      <c r="AQ51" s="24">
        <f t="shared" si="49"/>
        <v>-1.7672671237180256E-2</v>
      </c>
      <c r="AR51" s="24">
        <f t="shared" si="50"/>
        <v>-9.6460873010416892E-3</v>
      </c>
      <c r="AS51" s="24">
        <f t="shared" si="51"/>
        <v>-2.0888331785158559E-2</v>
      </c>
      <c r="AT51" s="24">
        <f t="shared" si="24"/>
        <v>3.9253858190927332E-2</v>
      </c>
    </row>
    <row r="52" spans="1:46" x14ac:dyDescent="0.25">
      <c r="A52">
        <v>2007</v>
      </c>
      <c r="B52">
        <f>Data!C49</f>
        <v>494600000</v>
      </c>
      <c r="C52">
        <f>Data!S49</f>
        <v>55600000</v>
      </c>
      <c r="D52">
        <f t="shared" si="29"/>
        <v>1.0877107021323218</v>
      </c>
      <c r="E52">
        <f t="shared" si="20"/>
        <v>1.1543262742655453</v>
      </c>
      <c r="F52">
        <f t="shared" si="20"/>
        <v>1.0285267</v>
      </c>
      <c r="G52" s="3">
        <f>Data!O49</f>
        <v>2147</v>
      </c>
      <c r="H52" s="3">
        <f t="shared" si="35"/>
        <v>1691.9026225646296</v>
      </c>
      <c r="I52" s="15">
        <f>Data!Q49</f>
        <v>8.8956999999999997</v>
      </c>
      <c r="J52" s="3">
        <f>Data!R49</f>
        <v>7.010087638354995</v>
      </c>
      <c r="L52">
        <f>Data!I49*0.01*Data!C49</f>
        <v>36035248</v>
      </c>
      <c r="M52" s="3">
        <f>Data!H49*0.01*Data!C49/Data!O49</f>
        <v>27316</v>
      </c>
      <c r="N52">
        <f>Data!P49</f>
        <v>65609000</v>
      </c>
      <c r="O52">
        <f>1+Data!M49*0.01*Data!C49/Calculations!L51</f>
        <v>1.0696968018785977</v>
      </c>
      <c r="P52">
        <f>1+Data!L49*0.01*Data!C49/Data!O49/Calculations!M51</f>
        <v>1.0845075590782327</v>
      </c>
      <c r="Q52">
        <f>Data!F49*0.01*Data!C49</f>
        <v>-22273747</v>
      </c>
      <c r="S52" s="6">
        <f t="shared" si="36"/>
        <v>36035248</v>
      </c>
      <c r="T52" s="13">
        <f t="shared" si="31"/>
        <v>1691.9026225646296</v>
      </c>
      <c r="U52" s="6">
        <f t="shared" si="37"/>
        <v>27316</v>
      </c>
      <c r="V52" s="11">
        <f t="shared" si="38"/>
        <v>65609000</v>
      </c>
      <c r="W52" s="6">
        <f t="shared" si="32"/>
        <v>-22273747</v>
      </c>
      <c r="X52" s="6">
        <f t="shared" si="34"/>
        <v>38785640</v>
      </c>
      <c r="Y52" s="6">
        <f t="shared" si="26"/>
        <v>29555</v>
      </c>
      <c r="AA52">
        <v>2007</v>
      </c>
      <c r="AB52" s="13">
        <f t="shared" si="39"/>
        <v>7.2857355438738378E-2</v>
      </c>
      <c r="AC52" s="13">
        <f t="shared" si="9"/>
        <v>1691.9026225646296</v>
      </c>
      <c r="AD52" s="13">
        <f t="shared" si="33"/>
        <v>7.0083997429747614E-5</v>
      </c>
      <c r="AE52" s="13">
        <f t="shared" si="40"/>
        <v>0.13265062676910636</v>
      </c>
      <c r="AF52" s="14">
        <f t="shared" si="41"/>
        <v>-8.9603146328784855E-2</v>
      </c>
      <c r="AG52" s="15">
        <f t="shared" si="42"/>
        <v>7.8418196522442377E-2</v>
      </c>
      <c r="AH52" s="15">
        <f t="shared" si="43"/>
        <v>6.7564678397561263E-5</v>
      </c>
      <c r="AI52" s="15">
        <f t="shared" si="44"/>
        <v>-4.5033859684593613E-2</v>
      </c>
      <c r="AJ52" s="15">
        <f t="shared" si="45"/>
        <v>0.26172931101781305</v>
      </c>
      <c r="AL52">
        <v>2007</v>
      </c>
      <c r="AM52" s="22">
        <f t="shared" si="46"/>
        <v>-1.9186617057229391E-2</v>
      </c>
      <c r="AN52" s="22">
        <f t="shared" si="47"/>
        <v>-1.3768767983954204E-2</v>
      </c>
      <c r="AO52" s="22">
        <f t="shared" si="48"/>
        <v>2.0147331736005747E-2</v>
      </c>
      <c r="AP52" s="23">
        <f t="shared" si="21"/>
        <v>2.2900148704315754E-2</v>
      </c>
      <c r="AQ52" s="24">
        <f t="shared" si="49"/>
        <v>-1.3626278187209006E-2</v>
      </c>
      <c r="AR52" s="24">
        <f t="shared" si="50"/>
        <v>-4.0495523383383336E-3</v>
      </c>
      <c r="AS52" s="24">
        <f t="shared" si="51"/>
        <v>-4.5033859684593613E-2</v>
      </c>
      <c r="AT52" s="24">
        <f t="shared" si="24"/>
        <v>7.2801785609278857E-2</v>
      </c>
    </row>
    <row r="53" spans="1:46" x14ac:dyDescent="0.25">
      <c r="A53">
        <v>2008</v>
      </c>
      <c r="B53">
        <f>Data!C50</f>
        <v>677600000</v>
      </c>
      <c r="C53">
        <f>Data!S50</f>
        <v>58500000</v>
      </c>
      <c r="D53">
        <f t="shared" si="29"/>
        <v>1.0521582733812949</v>
      </c>
      <c r="E53">
        <f t="shared" si="20"/>
        <v>1.3020785323246065</v>
      </c>
      <c r="F53">
        <f t="shared" si="20"/>
        <v>1.0383910000000001</v>
      </c>
      <c r="G53" s="3">
        <f>Data!O50</f>
        <v>2147</v>
      </c>
      <c r="H53" s="3">
        <f t="shared" si="35"/>
        <v>1349.2707333182007</v>
      </c>
      <c r="I53" s="15">
        <f>Data!Q50</f>
        <v>11.5829</v>
      </c>
      <c r="J53" s="3">
        <f>Data!R50</f>
        <v>7.2792119128790818</v>
      </c>
      <c r="L53">
        <f>Data!I50*0.01*Data!C50</f>
        <v>30573280</v>
      </c>
      <c r="M53" s="3">
        <f>Data!H50*0.01*Data!C50/Data!O50</f>
        <v>29862.999999999996</v>
      </c>
      <c r="N53">
        <f>Data!P50</f>
        <v>83886000</v>
      </c>
      <c r="O53">
        <f>1+Data!M50*0.01*Data!C50/Calculations!L52</f>
        <v>1.0981499003420208</v>
      </c>
      <c r="P53">
        <f>1+Data!L50*0.01*Data!C50/Data!O50/Calculations!M52</f>
        <v>1.0910089324937766</v>
      </c>
      <c r="Q53">
        <f>Data!F50*0.01*Data!C50</f>
        <v>-735758.00000000012</v>
      </c>
      <c r="S53" s="6">
        <f t="shared" si="36"/>
        <v>30573280</v>
      </c>
      <c r="T53" s="13">
        <f t="shared" si="31"/>
        <v>1349.2707333182007</v>
      </c>
      <c r="U53" s="6">
        <f t="shared" si="37"/>
        <v>29862.999999999996</v>
      </c>
      <c r="V53" s="11">
        <f t="shared" si="38"/>
        <v>83886000</v>
      </c>
      <c r="W53" s="6">
        <f t="shared" si="32"/>
        <v>-735758.00000000012</v>
      </c>
      <c r="X53" s="6">
        <f t="shared" si="34"/>
        <v>39572104</v>
      </c>
      <c r="Y53" s="6">
        <f t="shared" si="26"/>
        <v>29802.000000000004</v>
      </c>
      <c r="AA53">
        <v>2008</v>
      </c>
      <c r="AB53" s="13">
        <f t="shared" si="39"/>
        <v>4.5119952774498227E-2</v>
      </c>
      <c r="AC53" s="13">
        <f t="shared" si="9"/>
        <v>1349.2707333182007</v>
      </c>
      <c r="AD53" s="13">
        <f t="shared" si="33"/>
        <v>7.0128282922419735E-5</v>
      </c>
      <c r="AE53" s="13">
        <f t="shared" si="40"/>
        <v>0.1237987012987013</v>
      </c>
      <c r="AF53" s="14">
        <f t="shared" si="41"/>
        <v>-9.6825790920312058E-2</v>
      </c>
      <c r="AG53" s="15">
        <f t="shared" si="42"/>
        <v>5.8400389610389611E-2</v>
      </c>
      <c r="AH53" s="15">
        <f t="shared" si="43"/>
        <v>5.5812171261683329E-5</v>
      </c>
      <c r="AI53" s="15">
        <f t="shared" si="44"/>
        <v>-1.0858293978748526E-3</v>
      </c>
      <c r="AJ53" s="15">
        <f t="shared" si="45"/>
        <v>0.20844420089265756</v>
      </c>
      <c r="AL53">
        <v>2008</v>
      </c>
      <c r="AM53" s="22">
        <f t="shared" si="46"/>
        <v>-2.773740266424015E-2</v>
      </c>
      <c r="AN53" s="22">
        <f t="shared" si="47"/>
        <v>5.9753119173070076E-5</v>
      </c>
      <c r="AO53" s="22">
        <f t="shared" si="48"/>
        <v>-8.8519254704050587E-3</v>
      </c>
      <c r="AP53" s="23">
        <f t="shared" si="21"/>
        <v>3.5824835848794298E-2</v>
      </c>
      <c r="AQ53" s="24">
        <f t="shared" si="49"/>
        <v>-1.4456827032866557E-2</v>
      </c>
      <c r="AR53" s="24">
        <f t="shared" si="50"/>
        <v>-1.335276772381792E-4</v>
      </c>
      <c r="AS53" s="24">
        <f t="shared" si="51"/>
        <v>-1.0858293978748526E-3</v>
      </c>
      <c r="AT53" s="24">
        <f t="shared" si="24"/>
        <v>1.4971444941301745E-2</v>
      </c>
    </row>
    <row r="54" spans="1:46" x14ac:dyDescent="0.25">
      <c r="A54">
        <v>2009</v>
      </c>
      <c r="B54">
        <f>Data!C51</f>
        <v>707300000</v>
      </c>
      <c r="C54">
        <f>Data!S51</f>
        <v>56700000</v>
      </c>
      <c r="D54">
        <f t="shared" si="29"/>
        <v>0.96923076923076923</v>
      </c>
      <c r="E54">
        <f t="shared" si="20"/>
        <v>1.0769669081145481</v>
      </c>
      <c r="F54">
        <f t="shared" si="20"/>
        <v>0.996</v>
      </c>
      <c r="G54" s="3">
        <f>Data!O51</f>
        <v>2147</v>
      </c>
      <c r="H54" s="3">
        <f t="shared" si="35"/>
        <v>1247.8318881103366</v>
      </c>
      <c r="I54" s="15">
        <f>Data!Q51</f>
        <v>12.474399999999999</v>
      </c>
      <c r="J54" s="3">
        <f>Data!R51</f>
        <v>7.2500950652275655</v>
      </c>
      <c r="L54">
        <f>Data!I51*0.01*Data!C51</f>
        <v>53200513</v>
      </c>
      <c r="M54" s="3">
        <f>Data!H51*0.01*Data!C51/Data!O51</f>
        <v>35137.000000000007</v>
      </c>
      <c r="N54">
        <f>Data!P51</f>
        <v>104408000</v>
      </c>
      <c r="O54">
        <f>1+Data!M51*0.01*Data!C51/Calculations!L53</f>
        <v>1.1339879463374554</v>
      </c>
      <c r="P54">
        <f>1+Data!L51*0.01*Data!C51/Data!O51/Calculations!M53</f>
        <v>1.0819408632756253</v>
      </c>
      <c r="Q54">
        <f>Data!F51*0.01*Data!C51</f>
        <v>26393808</v>
      </c>
      <c r="S54" s="6">
        <f t="shared" si="36"/>
        <v>53200513</v>
      </c>
      <c r="T54" s="13">
        <f t="shared" si="31"/>
        <v>1247.8318881103366</v>
      </c>
      <c r="U54" s="6">
        <f t="shared" si="37"/>
        <v>35137.000000000007</v>
      </c>
      <c r="V54" s="11">
        <f t="shared" si="38"/>
        <v>104408000</v>
      </c>
      <c r="W54" s="6">
        <f t="shared" si="32"/>
        <v>26393808</v>
      </c>
      <c r="X54" s="6">
        <f t="shared" si="34"/>
        <v>34669731</v>
      </c>
      <c r="Y54" s="6">
        <f t="shared" si="26"/>
        <v>32309.999999999996</v>
      </c>
      <c r="AA54">
        <v>2009</v>
      </c>
      <c r="AB54" s="13">
        <f t="shared" si="39"/>
        <v>7.5216333945991795E-2</v>
      </c>
      <c r="AC54" s="13">
        <f t="shared" si="9"/>
        <v>1247.8318881103366</v>
      </c>
      <c r="AD54" s="13">
        <f t="shared" si="33"/>
        <v>8.5474765612248162E-5</v>
      </c>
      <c r="AE54" s="13">
        <f t="shared" si="40"/>
        <v>0.14761487346246288</v>
      </c>
      <c r="AF54" s="14">
        <f t="shared" si="41"/>
        <v>-0.11860050465604641</v>
      </c>
      <c r="AG54" s="15">
        <f t="shared" si="42"/>
        <v>4.9017009755407889E-2</v>
      </c>
      <c r="AH54" s="15">
        <f t="shared" si="43"/>
        <v>7.2688746126297566E-5</v>
      </c>
      <c r="AI54" s="15">
        <f t="shared" si="44"/>
        <v>3.7316284462038739E-2</v>
      </c>
      <c r="AJ54" s="15">
        <f t="shared" si="45"/>
        <v>0.2551112038665404</v>
      </c>
      <c r="AL54">
        <v>2009</v>
      </c>
      <c r="AM54" s="22">
        <f t="shared" si="46"/>
        <v>3.0096381171493568E-2</v>
      </c>
      <c r="AN54" s="22">
        <f t="shared" si="47"/>
        <v>1.9149830470701203E-2</v>
      </c>
      <c r="AO54" s="22">
        <f t="shared" si="48"/>
        <v>2.3816172163761584E-2</v>
      </c>
      <c r="AP54" s="23">
        <f t="shared" si="21"/>
        <v>5.1981966426548898E-3</v>
      </c>
      <c r="AQ54" s="24">
        <f t="shared" si="49"/>
        <v>3.8971370007846082E-3</v>
      </c>
      <c r="AR54" s="24">
        <f t="shared" si="50"/>
        <v>1.0568490100791141E-2</v>
      </c>
      <c r="AS54" s="24">
        <f t="shared" si="51"/>
        <v>3.7316284462038739E-2</v>
      </c>
      <c r="AT54" s="24">
        <f t="shared" si="24"/>
        <v>2.6478668884996753E-2</v>
      </c>
    </row>
    <row r="55" spans="1:46" x14ac:dyDescent="0.25">
      <c r="A55">
        <v>2010</v>
      </c>
      <c r="B55">
        <f>Data!C52</f>
        <v>1016800000</v>
      </c>
      <c r="C55">
        <f>Data!S52</f>
        <v>55800000</v>
      </c>
      <c r="D55">
        <f t="shared" si="29"/>
        <v>0.98412698412698407</v>
      </c>
      <c r="E55">
        <f t="shared" si="20"/>
        <v>1.4607676521516066</v>
      </c>
      <c r="F55">
        <f t="shared" si="20"/>
        <v>1.016</v>
      </c>
      <c r="G55" s="3">
        <f>Data!O52</f>
        <v>2594</v>
      </c>
      <c r="H55" s="3">
        <f t="shared" si="35"/>
        <v>1048.592076960384</v>
      </c>
      <c r="I55" s="15">
        <f>Data!Q52</f>
        <v>18.222200000000001</v>
      </c>
      <c r="J55" s="3">
        <f>Data!R52</f>
        <v>7.3660965862712064</v>
      </c>
      <c r="L55">
        <f>Data!I52*0.01*Data!C52</f>
        <v>90201161.999999985</v>
      </c>
      <c r="M55" s="3">
        <f>Data!H52*0.01*Data!C52/Data!O52</f>
        <v>37027</v>
      </c>
      <c r="N55">
        <f>Data!P52</f>
        <v>128448000</v>
      </c>
      <c r="O55">
        <f>1+Data!M52*0.01*Data!C52/Calculations!L54</f>
        <v>1.138842796497094</v>
      </c>
      <c r="P55">
        <f>1+Data!L52*0.01*Data!C52/Data!O52/Calculations!M54</f>
        <v>1.0793180977317358</v>
      </c>
      <c r="Q55">
        <f>Data!F52*0.01*Data!C52</f>
        <v>21245597</v>
      </c>
      <c r="S55" s="6">
        <f t="shared" si="36"/>
        <v>90201161.999999985</v>
      </c>
      <c r="T55" s="13">
        <f t="shared" si="31"/>
        <v>1048.592076960384</v>
      </c>
      <c r="U55" s="6">
        <f t="shared" si="37"/>
        <v>37027</v>
      </c>
      <c r="V55" s="11">
        <f t="shared" si="38"/>
        <v>128448000</v>
      </c>
      <c r="W55" s="6">
        <f t="shared" si="32"/>
        <v>21245597</v>
      </c>
      <c r="X55" s="6">
        <f t="shared" si="34"/>
        <v>60587021</v>
      </c>
      <c r="Y55" s="6">
        <f t="shared" si="26"/>
        <v>37924.000000000007</v>
      </c>
      <c r="AA55">
        <v>2010</v>
      </c>
      <c r="AB55" s="13">
        <f t="shared" si="39"/>
        <v>8.8710820220298969E-2</v>
      </c>
      <c r="AC55" s="13">
        <f t="shared" si="9"/>
        <v>1048.592076960384</v>
      </c>
      <c r="AD55" s="13">
        <f t="shared" si="33"/>
        <v>9.0083845693860452E-5</v>
      </c>
      <c r="AE55" s="13">
        <f t="shared" si="40"/>
        <v>0.12632572777340675</v>
      </c>
      <c r="AF55" s="14">
        <f t="shared" si="41"/>
        <v>-0.10268283138483796</v>
      </c>
      <c r="AG55" s="15">
        <f t="shared" si="42"/>
        <v>5.9585976593233676E-2</v>
      </c>
      <c r="AH55" s="15">
        <f t="shared" si="43"/>
        <v>7.7534148547852926E-5</v>
      </c>
      <c r="AI55" s="15">
        <f t="shared" si="44"/>
        <v>2.0894568253343824E-2</v>
      </c>
      <c r="AJ55" s="15">
        <f t="shared" si="45"/>
        <v>0.23725138422911221</v>
      </c>
      <c r="AL55">
        <v>2010</v>
      </c>
      <c r="AM55" s="22">
        <f t="shared" si="46"/>
        <v>1.3494486274307174E-2</v>
      </c>
      <c r="AN55" s="22">
        <f t="shared" si="47"/>
        <v>4.8330448556545679E-3</v>
      </c>
      <c r="AO55" s="22">
        <f t="shared" si="48"/>
        <v>-2.1289145689056127E-2</v>
      </c>
      <c r="AP55" s="23">
        <f t="shared" si="21"/>
        <v>4.4932042077624926E-2</v>
      </c>
      <c r="AQ55" s="24">
        <f t="shared" si="49"/>
        <v>-1.5630412738300466E-2</v>
      </c>
      <c r="AR55" s="24">
        <f t="shared" si="50"/>
        <v>7.1214209744453159E-3</v>
      </c>
      <c r="AS55" s="24">
        <f t="shared" si="51"/>
        <v>2.0894568253343824E-2</v>
      </c>
      <c r="AT55" s="24">
        <f t="shared" si="24"/>
        <v>2.9584851029041868E-2</v>
      </c>
    </row>
    <row r="56" spans="1:46" x14ac:dyDescent="0.25">
      <c r="A56">
        <v>2011</v>
      </c>
      <c r="B56">
        <f>Data!C53</f>
        <v>1357500000</v>
      </c>
      <c r="C56">
        <f>Data!S53</f>
        <v>58100000</v>
      </c>
      <c r="D56">
        <f t="shared" si="29"/>
        <v>1.0412186379928314</v>
      </c>
      <c r="E56">
        <f t="shared" si="20"/>
        <v>1.2822216856362019</v>
      </c>
      <c r="F56">
        <f t="shared" si="20"/>
        <v>1.032</v>
      </c>
      <c r="G56" s="3">
        <f>Data!O53</f>
        <v>4289</v>
      </c>
      <c r="H56" s="3">
        <f t="shared" si="35"/>
        <v>1395.4337610171565</v>
      </c>
      <c r="I56" s="15">
        <f>Data!Q53</f>
        <v>23.364899999999999</v>
      </c>
      <c r="J56" s="3">
        <f>Data!R53</f>
        <v>7.6018116770318853</v>
      </c>
      <c r="L56">
        <f>Data!I53*0.01*Data!C53</f>
        <v>153820696</v>
      </c>
      <c r="M56" s="3">
        <f>Data!H53*0.01*Data!C53/Data!O53</f>
        <v>43443</v>
      </c>
      <c r="N56">
        <f>Data!P53</f>
        <v>192749000</v>
      </c>
      <c r="O56">
        <f>1+Data!M53*0.01*Data!C53/Calculations!L55</f>
        <v>1.1691155929898109</v>
      </c>
      <c r="P56">
        <f>1+Data!L53*0.01*Data!C53/Data!O53/Calculations!M55</f>
        <v>1.0839927620385124</v>
      </c>
      <c r="Q56">
        <f>Data!F53*0.01*Data!C53</f>
        <v>25035669</v>
      </c>
      <c r="S56" s="6">
        <f t="shared" si="36"/>
        <v>153820696</v>
      </c>
      <c r="T56" s="13">
        <f t="shared" si="31"/>
        <v>1395.4337610171565</v>
      </c>
      <c r="U56" s="6">
        <f t="shared" si="37"/>
        <v>43443</v>
      </c>
      <c r="V56" s="11">
        <f t="shared" si="38"/>
        <v>192749000</v>
      </c>
      <c r="W56" s="6">
        <f t="shared" si="32"/>
        <v>25035669</v>
      </c>
      <c r="X56" s="6">
        <f t="shared" si="34"/>
        <v>105455584.99999999</v>
      </c>
      <c r="Y56" s="6">
        <f t="shared" si="26"/>
        <v>40137</v>
      </c>
      <c r="AA56">
        <v>2011</v>
      </c>
      <c r="AB56" s="13">
        <f t="shared" si="39"/>
        <v>0.11331174659300185</v>
      </c>
      <c r="AC56" s="13">
        <f t="shared" si="9"/>
        <v>1395.4337610171565</v>
      </c>
      <c r="AD56" s="13">
        <f t="shared" si="33"/>
        <v>9.8361823055501143E-5</v>
      </c>
      <c r="AE56" s="13">
        <f t="shared" si="40"/>
        <v>0.14198821362799263</v>
      </c>
      <c r="AF56" s="14">
        <f t="shared" si="41"/>
        <v>-9.4620830989115431E-2</v>
      </c>
      <c r="AG56" s="15">
        <f t="shared" si="42"/>
        <v>7.7683672191528538E-2</v>
      </c>
      <c r="AH56" s="15">
        <f t="shared" si="43"/>
        <v>1.2093564459785825E-4</v>
      </c>
      <c r="AI56" s="15">
        <f t="shared" si="44"/>
        <v>1.84424817679558E-2</v>
      </c>
      <c r="AJ56" s="15">
        <f t="shared" si="45"/>
        <v>0.25377206342908321</v>
      </c>
      <c r="AL56">
        <v>2011</v>
      </c>
      <c r="AM56" s="22">
        <f t="shared" si="46"/>
        <v>2.4600926372702878E-2</v>
      </c>
      <c r="AN56" s="22">
        <f t="shared" si="47"/>
        <v>1.1551369083369147E-2</v>
      </c>
      <c r="AO56" s="22">
        <f t="shared" si="48"/>
        <v>1.5662485854585878E-2</v>
      </c>
      <c r="AP56" s="23">
        <f t="shared" si="21"/>
        <v>3.1704896784291323E-2</v>
      </c>
      <c r="AQ56" s="24">
        <f t="shared" si="49"/>
        <v>-1.1027282250511222E-2</v>
      </c>
      <c r="AR56" s="24">
        <f t="shared" si="50"/>
        <v>1.106119143938173E-3</v>
      </c>
      <c r="AS56" s="24">
        <f t="shared" si="51"/>
        <v>1.84424817679558E-2</v>
      </c>
      <c r="AT56" s="24">
        <f t="shared" si="24"/>
        <v>7.4998359433566475E-2</v>
      </c>
    </row>
    <row r="57" spans="1:46" x14ac:dyDescent="0.25">
      <c r="A57">
        <v>2012</v>
      </c>
      <c r="B57">
        <f>Data!C54</f>
        <v>1635500000</v>
      </c>
      <c r="C57">
        <f>Data!S54</f>
        <v>61400000</v>
      </c>
      <c r="D57">
        <f t="shared" si="29"/>
        <v>1.0567986230636832</v>
      </c>
      <c r="E57">
        <f t="shared" si="20"/>
        <v>1.1400348385826604</v>
      </c>
      <c r="F57">
        <f t="shared" si="20"/>
        <v>1.0209999999999999</v>
      </c>
      <c r="G57" s="3">
        <f>Data!O54</f>
        <v>4289</v>
      </c>
      <c r="H57" s="3">
        <f t="shared" si="35"/>
        <v>1249.7318693960362</v>
      </c>
      <c r="I57" s="15">
        <f>Data!Q54</f>
        <v>26.636800000000001</v>
      </c>
      <c r="J57" s="3">
        <f>Data!R54</f>
        <v>7.7614497222495542</v>
      </c>
      <c r="L57">
        <f>Data!I54*0.01*Data!C54</f>
        <v>254719421</v>
      </c>
      <c r="M57" s="3">
        <f>Data!H54*0.01*Data!C54/Data!O54</f>
        <v>45417</v>
      </c>
      <c r="N57">
        <f>Data!P54</f>
        <v>275578000</v>
      </c>
      <c r="O57">
        <f>1+Data!M54*0.01*Data!C54/Calculations!L56</f>
        <v>1.1750893130791711</v>
      </c>
      <c r="P57">
        <f>1+Data!L54*0.01*Data!C54/Data!O54/Calculations!M56</f>
        <v>1.0921667472320051</v>
      </c>
      <c r="Q57">
        <f>Data!F54*0.01*Data!C54</f>
        <v>35556394</v>
      </c>
      <c r="S57" s="6">
        <f t="shared" si="36"/>
        <v>254719421</v>
      </c>
      <c r="T57" s="13">
        <f t="shared" si="31"/>
        <v>1249.7318693960362</v>
      </c>
      <c r="U57" s="6">
        <f t="shared" si="37"/>
        <v>45417</v>
      </c>
      <c r="V57" s="11">
        <f t="shared" si="38"/>
        <v>275578000</v>
      </c>
      <c r="W57" s="6">
        <f t="shared" si="32"/>
        <v>35556394</v>
      </c>
      <c r="X57" s="6">
        <f t="shared" si="34"/>
        <v>180753056</v>
      </c>
      <c r="Y57" s="6">
        <f t="shared" si="26"/>
        <v>47447</v>
      </c>
      <c r="AA57">
        <v>2012</v>
      </c>
      <c r="AB57" s="13">
        <f t="shared" si="39"/>
        <v>0.15574406664628554</v>
      </c>
      <c r="AC57" s="13">
        <f t="shared" si="9"/>
        <v>1249.7318693960362</v>
      </c>
      <c r="AD57" s="13">
        <f t="shared" si="33"/>
        <v>9.5303143126145083E-5</v>
      </c>
      <c r="AE57" s="13">
        <f t="shared" si="40"/>
        <v>0.16849770712320392</v>
      </c>
      <c r="AF57" s="14">
        <f t="shared" si="41"/>
        <v>-0.11785335037693401</v>
      </c>
      <c r="AG57" s="15">
        <f t="shared" si="42"/>
        <v>0.11051853011311526</v>
      </c>
      <c r="AH57" s="15">
        <f t="shared" si="43"/>
        <v>8.9167205701335599E-5</v>
      </c>
      <c r="AI57" s="15">
        <f t="shared" si="44"/>
        <v>2.1740381534698868E-2</v>
      </c>
      <c r="AJ57" s="15">
        <f t="shared" si="45"/>
        <v>0.30984234843603414</v>
      </c>
      <c r="AL57">
        <v>2012</v>
      </c>
      <c r="AM57" s="22">
        <f t="shared" si="46"/>
        <v>4.2432320053283692E-2</v>
      </c>
      <c r="AN57" s="22">
        <f t="shared" si="47"/>
        <v>-3.822529785998285E-3</v>
      </c>
      <c r="AO57" s="22">
        <f t="shared" si="48"/>
        <v>2.6509493495211284E-2</v>
      </c>
      <c r="AP57" s="23">
        <f t="shared" si="21"/>
        <v>2.4134863251058625E-2</v>
      </c>
      <c r="AQ57" s="24">
        <f t="shared" si="49"/>
        <v>-2.793127868808335E-3</v>
      </c>
      <c r="AR57" s="24">
        <f t="shared" si="50"/>
        <v>1.5010242068515783E-3</v>
      </c>
      <c r="AS57" s="24">
        <f t="shared" si="51"/>
        <v>2.1740381534698868E-2</v>
      </c>
      <c r="AT57" s="24">
        <f t="shared" si="24"/>
        <v>6.88058691408132E-2</v>
      </c>
    </row>
    <row r="58" spans="1:46" x14ac:dyDescent="0.25">
      <c r="A58">
        <v>2013</v>
      </c>
      <c r="B58">
        <f>Data!C55</f>
        <v>2245800000</v>
      </c>
      <c r="C58">
        <f>Data!S55</f>
        <v>62200000</v>
      </c>
      <c r="D58">
        <f t="shared" si="29"/>
        <v>1.0130293159609121</v>
      </c>
      <c r="E58">
        <f t="shared" si="20"/>
        <v>1.3554969065353195</v>
      </c>
      <c r="F58">
        <f t="shared" si="20"/>
        <v>1.0149999999999999</v>
      </c>
      <c r="G58" s="3">
        <f>Data!O55</f>
        <v>6284</v>
      </c>
      <c r="H58" s="3">
        <f t="shared" si="35"/>
        <v>1371.0853375312049</v>
      </c>
      <c r="I58" s="15">
        <f>Data!Q55</f>
        <v>36.106099999999998</v>
      </c>
      <c r="J58" s="3">
        <f>Data!R55</f>
        <v>7.8778714680832964</v>
      </c>
      <c r="L58">
        <f>Data!I55*0.01*Data!C55</f>
        <v>442978012</v>
      </c>
      <c r="M58" s="3">
        <f>Data!H55*0.01*Data!C55/Data!O55</f>
        <v>44791</v>
      </c>
      <c r="N58">
        <f>Data!P55</f>
        <v>461148000</v>
      </c>
      <c r="O58">
        <f>1+Data!M55*0.01*Data!C55/Calculations!L57</f>
        <v>1.1790543211073019</v>
      </c>
      <c r="P58">
        <f>1+Data!L55*0.01*Data!C55/Data!O55/Calculations!M57</f>
        <v>1.0894819120593611</v>
      </c>
      <c r="Q58">
        <f>Data!F55*0.01*Data!C55</f>
        <v>157206000.00000006</v>
      </c>
      <c r="S58" s="6">
        <f t="shared" si="36"/>
        <v>442978012</v>
      </c>
      <c r="T58" s="13">
        <f t="shared" si="31"/>
        <v>1371.0853375312049</v>
      </c>
      <c r="U58" s="6">
        <f t="shared" si="37"/>
        <v>44791</v>
      </c>
      <c r="V58" s="11">
        <f t="shared" si="38"/>
        <v>461148000</v>
      </c>
      <c r="W58" s="6">
        <f>+Q58</f>
        <v>157206000.00000006</v>
      </c>
      <c r="X58" s="6">
        <f t="shared" si="34"/>
        <v>300328034</v>
      </c>
      <c r="Y58" s="6">
        <f t="shared" si="26"/>
        <v>49481</v>
      </c>
      <c r="AA58">
        <v>2013</v>
      </c>
      <c r="AB58" s="13">
        <f t="shared" si="39"/>
        <v>0.19724731142577256</v>
      </c>
      <c r="AC58" s="13">
        <f t="shared" si="9"/>
        <v>1371.0853375312049</v>
      </c>
      <c r="AD58" s="13">
        <f t="shared" si="33"/>
        <v>9.1409531509928414E-5</v>
      </c>
      <c r="AE58" s="13">
        <f t="shared" si="40"/>
        <v>0.20533796419983971</v>
      </c>
      <c r="AF58" s="14">
        <f t="shared" si="41"/>
        <v>-0.12270816203216429</v>
      </c>
      <c r="AG58" s="15">
        <f t="shared" si="42"/>
        <v>0.13372875322824829</v>
      </c>
      <c r="AH58" s="15">
        <f t="shared" si="43"/>
        <v>1.1078649794453305E-4</v>
      </c>
      <c r="AI58" s="15">
        <f t="shared" si="44"/>
        <v>7.0000000000000021E-2</v>
      </c>
      <c r="AJ58" s="15">
        <f t="shared" si="45"/>
        <v>0.32154530746309362</v>
      </c>
      <c r="AL58">
        <v>2013</v>
      </c>
      <c r="AM58" s="22">
        <f t="shared" si="46"/>
        <v>4.1503244779487025E-2</v>
      </c>
      <c r="AN58" s="22">
        <f t="shared" si="47"/>
        <v>-5.3384737970358512E-3</v>
      </c>
      <c r="AO58" s="22">
        <f t="shared" si="48"/>
        <v>3.6840257076635796E-2</v>
      </c>
      <c r="AP58" s="23">
        <f t="shared" si="21"/>
        <v>4.5789545091039621E-2</v>
      </c>
      <c r="AQ58" s="24">
        <f t="shared" si="49"/>
        <v>-2.2015318129084055E-2</v>
      </c>
      <c r="AR58" s="24">
        <f t="shared" si="50"/>
        <v>7.7846750191660624E-3</v>
      </c>
      <c r="AS58" s="24">
        <f t="shared" si="51"/>
        <v>7.0000000000000021E-2</v>
      </c>
      <c r="AT58" s="24">
        <f t="shared" si="24"/>
        <v>6.3025216260044564E-2</v>
      </c>
    </row>
    <row r="59" spans="1:46" x14ac:dyDescent="0.25">
      <c r="A59">
        <v>2014</v>
      </c>
      <c r="B59">
        <f>Data!C56</f>
        <v>3031200000</v>
      </c>
      <c r="C59">
        <f>Data!S56</f>
        <v>59800000</v>
      </c>
      <c r="D59">
        <f t="shared" si="29"/>
        <v>0.96141479099678462</v>
      </c>
      <c r="E59">
        <f t="shared" si="20"/>
        <v>1.4038902013787145</v>
      </c>
      <c r="F59">
        <f t="shared" si="20"/>
        <v>1.016</v>
      </c>
      <c r="G59" s="3">
        <f>Data!O56</f>
        <v>6284</v>
      </c>
      <c r="H59" s="3">
        <f t="shared" si="35"/>
        <v>992.25901111330677</v>
      </c>
      <c r="I59" s="15">
        <f>Data!Q56</f>
        <v>50.689</v>
      </c>
      <c r="J59" s="3">
        <f>Data!R56</f>
        <v>8.0039174115726297</v>
      </c>
      <c r="L59">
        <f>Data!I56*0.01*Data!C56</f>
        <v>588993036</v>
      </c>
      <c r="M59" s="3">
        <f>Data!H56*0.01*Data!C56/Data!O56</f>
        <v>43338</v>
      </c>
      <c r="N59">
        <f>Data!P56</f>
        <v>757994119</v>
      </c>
      <c r="O59">
        <f>1+Data!M56*0.01*Data!C56/Calculations!L58</f>
        <v>1.147041456314992</v>
      </c>
      <c r="P59">
        <f>1+Data!L56*0.01*Data!C56/Data!O56/Calculations!M58</f>
        <v>1.0884999218593021</v>
      </c>
      <c r="Q59">
        <f>Data!F56*0.01*Data!C56</f>
        <v>212184000.00000003</v>
      </c>
      <c r="S59" s="6">
        <f t="shared" si="36"/>
        <v>588993036</v>
      </c>
      <c r="T59" s="13">
        <f t="shared" si="31"/>
        <v>992.25901111330677</v>
      </c>
      <c r="U59" s="6">
        <f t="shared" si="37"/>
        <v>43338</v>
      </c>
      <c r="V59" s="11">
        <f t="shared" si="38"/>
        <v>757994119</v>
      </c>
      <c r="W59" s="6">
        <f>+Q59</f>
        <v>212184000.00000003</v>
      </c>
      <c r="X59" s="6">
        <f t="shared" si="34"/>
        <v>508114144</v>
      </c>
      <c r="Y59" s="6">
        <f t="shared" si="26"/>
        <v>48755</v>
      </c>
      <c r="AA59">
        <v>2014</v>
      </c>
      <c r="AB59" s="13">
        <f t="shared" si="39"/>
        <v>0.19431018606492478</v>
      </c>
      <c r="AC59" s="13">
        <f t="shared" si="9"/>
        <v>992.25901111330677</v>
      </c>
      <c r="AD59" s="13">
        <f t="shared" si="33"/>
        <v>9.0545127066866016E-5</v>
      </c>
      <c r="AE59" s="13">
        <f t="shared" si="40"/>
        <v>0.25006404031406704</v>
      </c>
      <c r="AF59" s="14">
        <f t="shared" si="41"/>
        <v>-0.15213365868630629</v>
      </c>
      <c r="AG59" s="15">
        <f t="shared" si="42"/>
        <v>0.16762804961731329</v>
      </c>
      <c r="AH59" s="15">
        <f t="shared" si="43"/>
        <v>7.3718407222442495E-5</v>
      </c>
      <c r="AI59" s="15">
        <f t="shared" si="44"/>
        <v>7.0000000000000007E-2</v>
      </c>
      <c r="AJ59" s="15">
        <f t="shared" si="45"/>
        <v>0.35889666216782928</v>
      </c>
      <c r="AL59">
        <v>2014</v>
      </c>
      <c r="AM59" s="22">
        <f t="shared" si="46"/>
        <v>-2.937125360847781E-3</v>
      </c>
      <c r="AN59" s="22">
        <f t="shared" si="47"/>
        <v>-8.5771309787504397E-4</v>
      </c>
      <c r="AO59" s="22">
        <f t="shared" si="48"/>
        <v>4.4726076114227326E-2</v>
      </c>
      <c r="AP59" s="23">
        <f t="shared" si="21"/>
        <v>5.3204305513533418E-2</v>
      </c>
      <c r="AQ59" s="24">
        <f t="shared" si="49"/>
        <v>-2.9619426761888754E-2</v>
      </c>
      <c r="AR59" s="24">
        <f t="shared" si="50"/>
        <v>1.0372295906473154E-2</v>
      </c>
      <c r="AS59" s="24">
        <f t="shared" si="51"/>
        <v>7.0000000000000007E-2</v>
      </c>
      <c r="AT59" s="24">
        <f t="shared" si="24"/>
        <v>4.3382674024453505E-2</v>
      </c>
    </row>
    <row r="60" spans="1:46" x14ac:dyDescent="0.25">
      <c r="A60">
        <v>2015</v>
      </c>
      <c r="B60">
        <f>Data!C57</f>
        <v>6025300000</v>
      </c>
      <c r="C60">
        <f>Data!S57</f>
        <v>56100000</v>
      </c>
      <c r="D60">
        <f t="shared" si="29"/>
        <v>0.93812709030100339</v>
      </c>
      <c r="E60">
        <f t="shared" si="20"/>
        <v>2.1188601077156779</v>
      </c>
      <c r="F60">
        <f t="shared" si="20"/>
        <v>1.0009999999999999</v>
      </c>
      <c r="G60" s="3">
        <f>Data!O57</f>
        <v>6284</v>
      </c>
      <c r="H60" s="3">
        <f t="shared" si="35"/>
        <v>468.76679895362901</v>
      </c>
      <c r="I60" s="15">
        <f>Data!Q57</f>
        <v>107.4029</v>
      </c>
      <c r="J60" s="3">
        <f>Data!R57</f>
        <v>8.0119213289842008</v>
      </c>
      <c r="L60">
        <f>Data!I57*0.01*Data!C57</f>
        <v>813570627.99999988</v>
      </c>
      <c r="M60" s="3">
        <f>Data!H57*0.01*Data!C57/Data!O57</f>
        <v>42532</v>
      </c>
      <c r="N60">
        <f>Data!P57</f>
        <v>1600945424</v>
      </c>
      <c r="O60">
        <f>1+Data!M57*0.01*Data!C57/Calculations!L59</f>
        <v>1.1300032518550864</v>
      </c>
      <c r="P60">
        <f>1+Data!L57*0.01*Data!C57/Data!O57/Calculations!M59</f>
        <v>1.0867598873967419</v>
      </c>
      <c r="Q60">
        <f>Data!F57*0.01*Data!C57</f>
        <v>421771000.00000006</v>
      </c>
      <c r="S60" s="6">
        <f t="shared" si="36"/>
        <v>813570627.99999988</v>
      </c>
      <c r="T60" s="13">
        <f t="shared" si="31"/>
        <v>468.76679895362901</v>
      </c>
      <c r="U60" s="6">
        <f t="shared" si="37"/>
        <v>42532</v>
      </c>
      <c r="V60" s="11">
        <f t="shared" si="38"/>
        <v>1600945424</v>
      </c>
      <c r="W60" s="6">
        <f>+Q60</f>
        <v>421771000.00000006</v>
      </c>
      <c r="X60" s="6">
        <f t="shared" si="34"/>
        <v>665564046</v>
      </c>
      <c r="Y60" s="6">
        <f t="shared" si="26"/>
        <v>47098</v>
      </c>
      <c r="AA60">
        <v>2015</v>
      </c>
      <c r="AB60" s="13">
        <f t="shared" si="39"/>
        <v>0.13502574610392842</v>
      </c>
      <c r="AC60" s="13">
        <f t="shared" si="9"/>
        <v>468.76679895362901</v>
      </c>
      <c r="AD60" s="13">
        <f t="shared" si="33"/>
        <v>9.4627260606670806E-5</v>
      </c>
      <c r="AE60" s="13">
        <f t="shared" si="40"/>
        <v>0.2657038527542197</v>
      </c>
      <c r="AF60" s="14">
        <f t="shared" si="41"/>
        <v>-0.12580192367744578</v>
      </c>
      <c r="AG60" s="15">
        <f t="shared" si="42"/>
        <v>0.11046156141602907</v>
      </c>
      <c r="AH60" s="15">
        <f t="shared" si="43"/>
        <v>4.9503364967992917E-5</v>
      </c>
      <c r="AI60" s="15">
        <f t="shared" si="44"/>
        <v>7.0000000000000007E-2</v>
      </c>
      <c r="AJ60" s="15">
        <f t="shared" si="45"/>
        <v>0.34611508501520344</v>
      </c>
      <c r="AL60">
        <v>2015</v>
      </c>
      <c r="AM60" s="22">
        <f t="shared" si="46"/>
        <v>-5.928443996099636E-2</v>
      </c>
      <c r="AN60" s="22">
        <f t="shared" si="47"/>
        <v>1.9135686723555378E-3</v>
      </c>
      <c r="AO60" s="22">
        <f t="shared" si="48"/>
        <v>1.5639812440152667E-2</v>
      </c>
      <c r="AP60" s="23">
        <f t="shared" si="21"/>
        <v>0.12426211663662126</v>
      </c>
      <c r="AQ60" s="24">
        <f t="shared" si="49"/>
        <v>-8.3848593793198978E-2</v>
      </c>
      <c r="AR60" s="24">
        <f t="shared" si="50"/>
        <v>6.6756105939373951E-3</v>
      </c>
      <c r="AS60" s="24">
        <f t="shared" si="51"/>
        <v>7.0000000000000007E-2</v>
      </c>
      <c r="AT60" s="24">
        <f t="shared" si="24"/>
        <v>8.9704040987394679E-2</v>
      </c>
    </row>
    <row r="61" spans="1:46" x14ac:dyDescent="0.25">
      <c r="A61">
        <v>2016</v>
      </c>
      <c r="B61">
        <f>Data!C58</f>
        <v>23751849490</v>
      </c>
      <c r="C61">
        <f>Data!S58</f>
        <v>46871550</v>
      </c>
      <c r="D61">
        <f t="shared" si="29"/>
        <v>0.83550000000000002</v>
      </c>
      <c r="E61">
        <f t="shared" si="20"/>
        <v>4.7181537928677901</v>
      </c>
      <c r="F61">
        <f t="shared" si="20"/>
        <v>1.0129999999999999</v>
      </c>
      <c r="G61" s="3">
        <f>Data!O58</f>
        <v>9975</v>
      </c>
      <c r="H61" s="3">
        <f t="shared" si="35"/>
        <v>159.76105688787149</v>
      </c>
      <c r="I61" s="15">
        <f>Data!Q58</f>
        <v>506.74340000000001</v>
      </c>
      <c r="J61" s="3">
        <f>Data!R58</f>
        <v>8.1160763062609949</v>
      </c>
      <c r="L61">
        <f>Data!I58*0.01*Data!C58</f>
        <v>1016911349.9999999</v>
      </c>
      <c r="M61" s="3">
        <f>Data!H58*0.01*Data!C58/Data!O58</f>
        <v>46761.000000000007</v>
      </c>
      <c r="N61">
        <f>Data!P58</f>
        <v>5379462178</v>
      </c>
      <c r="O61">
        <f>1+Data!M58*0.01*Data!C58/Calculations!L60</f>
        <v>1.11901876698528</v>
      </c>
      <c r="P61">
        <f>1+Data!L58*0.01*Data!C58/Data!O58/Calculations!M60</f>
        <v>1.086570111915734</v>
      </c>
      <c r="Q61">
        <f>Data!F58*0.01*Data!C58</f>
        <v>2850221938.7999997</v>
      </c>
      <c r="S61" s="6">
        <f t="shared" si="36"/>
        <v>1016911349.9999999</v>
      </c>
      <c r="T61" s="13">
        <f t="shared" si="31"/>
        <v>159.76105688787149</v>
      </c>
      <c r="U61" s="6">
        <f t="shared" si="37"/>
        <v>46761.000000000007</v>
      </c>
      <c r="V61" s="11">
        <f t="shared" si="38"/>
        <v>5379462178</v>
      </c>
      <c r="W61" s="6">
        <f>+Q61</f>
        <v>2850221938.7999997</v>
      </c>
      <c r="X61" s="6">
        <f t="shared" si="34"/>
        <v>910400800.99999976</v>
      </c>
      <c r="Y61" s="6">
        <f t="shared" si="26"/>
        <v>46214</v>
      </c>
      <c r="AA61">
        <v>2016</v>
      </c>
      <c r="AB61" s="13">
        <f t="shared" si="39"/>
        <v>4.2813985935206425E-2</v>
      </c>
      <c r="AC61" s="13">
        <f t="shared" si="9"/>
        <v>159.76105688787149</v>
      </c>
      <c r="AD61" s="13">
        <f t="shared" si="33"/>
        <v>1.2292164203032098E-4</v>
      </c>
      <c r="AE61" s="13">
        <f t="shared" si="40"/>
        <v>0.22648603344614743</v>
      </c>
      <c r="AF61" s="14">
        <f t="shared" si="41"/>
        <v>-6.7403012077600355E-2</v>
      </c>
      <c r="AG61" s="15">
        <f t="shared" si="42"/>
        <v>3.8329680447970867E-2</v>
      </c>
      <c r="AH61" s="15">
        <f t="shared" si="43"/>
        <v>4.1403037436058766E-5</v>
      </c>
      <c r="AI61" s="15">
        <f t="shared" si="44"/>
        <v>0.11999999999999998</v>
      </c>
      <c r="AJ61" s="15">
        <f t="shared" si="45"/>
        <v>0.1784548696155776</v>
      </c>
      <c r="AL61">
        <v>2016</v>
      </c>
      <c r="AM61" s="22">
        <f t="shared" si="46"/>
        <v>-9.2211760168721998E-2</v>
      </c>
      <c r="AN61" s="22">
        <f t="shared" si="47"/>
        <v>4.52034028023091E-3</v>
      </c>
      <c r="AO61" s="22">
        <f t="shared" si="48"/>
        <v>-3.9217819308072277E-2</v>
      </c>
      <c r="AP61" s="23">
        <f t="shared" si="21"/>
        <v>0.19830084067661935</v>
      </c>
      <c r="AQ61" s="24">
        <f t="shared" si="49"/>
        <v>-9.669604712397116E-2</v>
      </c>
      <c r="AR61" s="24">
        <f t="shared" si="50"/>
        <v>4.2906181609327597E-3</v>
      </c>
      <c r="AS61" s="24">
        <f t="shared" si="51"/>
        <v>0.11999999999999998</v>
      </c>
      <c r="AT61" s="24">
        <f t="shared" si="24"/>
        <v>4.3797030443094381E-2</v>
      </c>
    </row>
  </sheetData>
  <mergeCells count="6">
    <mergeCell ref="AQ3:AT3"/>
    <mergeCell ref="S3:V3"/>
    <mergeCell ref="W3:Y3"/>
    <mergeCell ref="AG3:AJ3"/>
    <mergeCell ref="AB3:AF3"/>
    <mergeCell ref="AM3:AP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H18" sqref="H18"/>
    </sheetView>
  </sheetViews>
  <sheetFormatPr defaultRowHeight="12.5" x14ac:dyDescent="0.25"/>
  <cols>
    <col min="1" max="1" width="19.1796875" style="16" bestFit="1" customWidth="1"/>
    <col min="2" max="6" width="10.90625" style="16" customWidth="1"/>
  </cols>
  <sheetData>
    <row r="1" spans="1:8" s="31" customFormat="1" ht="15.5" x14ac:dyDescent="0.25">
      <c r="A1" s="42" t="s">
        <v>88</v>
      </c>
      <c r="B1" s="42"/>
      <c r="C1" s="42"/>
      <c r="D1" s="42"/>
      <c r="E1" s="42"/>
      <c r="F1" s="42"/>
      <c r="G1" s="32"/>
      <c r="H1" s="32"/>
    </row>
    <row r="2" spans="1:8" s="30" customFormat="1" ht="14" x14ac:dyDescent="0.3">
      <c r="A2" s="33" t="s">
        <v>89</v>
      </c>
      <c r="B2" s="43"/>
      <c r="C2" s="43"/>
      <c r="D2" s="43"/>
      <c r="E2" s="43"/>
      <c r="F2" s="43"/>
    </row>
    <row r="3" spans="1:8" ht="14" x14ac:dyDescent="0.25">
      <c r="A3" s="35" t="s">
        <v>37</v>
      </c>
      <c r="B3" s="36" t="s">
        <v>38</v>
      </c>
      <c r="C3" s="36" t="s">
        <v>39</v>
      </c>
      <c r="D3" s="36" t="s">
        <v>40</v>
      </c>
      <c r="E3" s="36" t="s">
        <v>41</v>
      </c>
      <c r="F3" s="36" t="s">
        <v>42</v>
      </c>
    </row>
    <row r="4" spans="1:8" ht="14" x14ac:dyDescent="0.25">
      <c r="A4" s="37" t="s">
        <v>43</v>
      </c>
      <c r="B4" s="44">
        <v>0.01</v>
      </c>
      <c r="C4" s="44">
        <v>0.64</v>
      </c>
      <c r="D4" s="44" t="s">
        <v>44</v>
      </c>
      <c r="E4" s="44" t="s">
        <v>45</v>
      </c>
      <c r="F4" s="44">
        <v>0.01</v>
      </c>
    </row>
    <row r="5" spans="1:8" ht="14" x14ac:dyDescent="0.25">
      <c r="A5" s="37" t="s">
        <v>46</v>
      </c>
      <c r="B5" s="44" t="s">
        <v>47</v>
      </c>
      <c r="C5" s="44">
        <v>3.11</v>
      </c>
      <c r="D5" s="44" t="s">
        <v>48</v>
      </c>
      <c r="E5" s="44" t="s">
        <v>49</v>
      </c>
      <c r="F5" s="44">
        <v>0.03</v>
      </c>
    </row>
    <row r="6" spans="1:8" ht="14" x14ac:dyDescent="0.25">
      <c r="A6" s="37" t="s">
        <v>50</v>
      </c>
      <c r="B6" s="44" t="s">
        <v>44</v>
      </c>
      <c r="C6" s="44">
        <v>0.13</v>
      </c>
      <c r="D6" s="44" t="s">
        <v>51</v>
      </c>
      <c r="E6" s="44">
        <v>1.5</v>
      </c>
      <c r="F6" s="44">
        <v>0.26</v>
      </c>
    </row>
    <row r="7" spans="1:8" ht="14" x14ac:dyDescent="0.25">
      <c r="A7" s="37" t="s">
        <v>52</v>
      </c>
      <c r="B7" s="44">
        <v>0.56999999999999995</v>
      </c>
      <c r="C7" s="44">
        <v>1.43</v>
      </c>
      <c r="D7" s="44">
        <v>2.0699999999999998</v>
      </c>
      <c r="E7" s="44">
        <v>7.04</v>
      </c>
      <c r="F7" s="44">
        <v>2.41</v>
      </c>
    </row>
    <row r="8" spans="1:8" ht="14" x14ac:dyDescent="0.25">
      <c r="A8" s="37" t="s">
        <v>3</v>
      </c>
      <c r="B8" s="44">
        <v>0.53</v>
      </c>
      <c r="C8" s="44">
        <v>5.31</v>
      </c>
      <c r="D8" s="44">
        <v>0.23</v>
      </c>
      <c r="E8" s="44">
        <v>7.61</v>
      </c>
      <c r="F8" s="44">
        <v>2.71</v>
      </c>
    </row>
    <row r="9" spans="1:8" ht="16.75" customHeight="1" x14ac:dyDescent="0.25">
      <c r="A9" s="39" t="s">
        <v>53</v>
      </c>
      <c r="B9" s="39"/>
      <c r="C9" s="39"/>
      <c r="D9" s="39"/>
      <c r="E9" s="39"/>
      <c r="F9" s="39"/>
    </row>
    <row r="10" spans="1:8" ht="14" x14ac:dyDescent="0.25">
      <c r="A10" s="37" t="s">
        <v>54</v>
      </c>
      <c r="B10" s="44" t="s">
        <v>55</v>
      </c>
      <c r="C10" s="44" t="s">
        <v>56</v>
      </c>
      <c r="D10" s="44" t="s">
        <v>57</v>
      </c>
      <c r="E10" s="44" t="s">
        <v>58</v>
      </c>
      <c r="F10" s="44" t="s">
        <v>59</v>
      </c>
    </row>
    <row r="11" spans="1:8" ht="14" x14ac:dyDescent="0.25">
      <c r="A11" s="37" t="s">
        <v>60</v>
      </c>
      <c r="B11" s="44" t="s">
        <v>61</v>
      </c>
      <c r="C11" s="44">
        <v>0.97</v>
      </c>
      <c r="D11" s="44">
        <v>0.66</v>
      </c>
      <c r="E11" s="44">
        <v>0.42</v>
      </c>
      <c r="F11" s="44">
        <v>0.48</v>
      </c>
    </row>
    <row r="12" spans="1:8" ht="14" x14ac:dyDescent="0.25">
      <c r="A12" s="37" t="s">
        <v>62</v>
      </c>
      <c r="B12" s="44" t="s">
        <v>63</v>
      </c>
      <c r="C12" s="44" t="s">
        <v>64</v>
      </c>
      <c r="D12" s="44" t="s">
        <v>65</v>
      </c>
      <c r="E12" s="44">
        <v>3.61</v>
      </c>
      <c r="F12" s="44">
        <v>0.03</v>
      </c>
    </row>
    <row r="13" spans="1:8" ht="14" x14ac:dyDescent="0.25">
      <c r="A13" s="37" t="s">
        <v>66</v>
      </c>
      <c r="B13" s="44">
        <v>1.71</v>
      </c>
      <c r="C13" s="44">
        <v>5.25</v>
      </c>
      <c r="D13" s="44">
        <v>1.57</v>
      </c>
      <c r="E13" s="44">
        <v>5.68</v>
      </c>
      <c r="F13" s="44">
        <v>3.1</v>
      </c>
    </row>
    <row r="14" spans="1:8" ht="14.5" thickBot="1" x14ac:dyDescent="0.3">
      <c r="A14" s="40" t="s">
        <v>3</v>
      </c>
      <c r="B14" s="45">
        <v>0.53</v>
      </c>
      <c r="C14" s="45">
        <v>5.31</v>
      </c>
      <c r="D14" s="45">
        <v>0.23</v>
      </c>
      <c r="E14" s="45">
        <v>7.61</v>
      </c>
      <c r="F14" s="45">
        <v>2.71</v>
      </c>
    </row>
    <row r="16" spans="1:8" ht="14" x14ac:dyDescent="0.3">
      <c r="A16" s="33" t="s">
        <v>90</v>
      </c>
      <c r="B16" s="34"/>
      <c r="C16" s="34"/>
      <c r="D16" s="34"/>
      <c r="E16" s="34"/>
      <c r="F16" s="34"/>
    </row>
    <row r="17" spans="1:6" ht="14" x14ac:dyDescent="0.25">
      <c r="A17" s="35" t="s">
        <v>37</v>
      </c>
      <c r="B17" s="36" t="s">
        <v>38</v>
      </c>
      <c r="C17" s="36" t="s">
        <v>39</v>
      </c>
      <c r="D17" s="36" t="s">
        <v>40</v>
      </c>
      <c r="E17" s="36" t="s">
        <v>41</v>
      </c>
      <c r="F17" s="36" t="s">
        <v>42</v>
      </c>
    </row>
    <row r="18" spans="1:6" ht="14" x14ac:dyDescent="0.25">
      <c r="A18" s="37" t="s">
        <v>43</v>
      </c>
      <c r="B18" s="38">
        <f>100*AVERAGE(Calculations!AM6:AM19)</f>
        <v>1.1137812917614722E-2</v>
      </c>
      <c r="C18" s="38">
        <f>100*AVERAGE(Calculations!AM20:AM31)</f>
        <v>0.93993949068403082</v>
      </c>
      <c r="D18" s="38">
        <f>100*AVERAGE(Calculations!AM32:AM50)</f>
        <v>-0.23000323729243113</v>
      </c>
      <c r="E18" s="38">
        <f>100*AVERAGE(Calculations!AM51:AM61)</f>
        <v>-0.60999973371863569</v>
      </c>
      <c r="F18" s="38">
        <f>100*AVERAGE(Calculations!AM6:AM61)</f>
        <v>6.3418694570320268E-3</v>
      </c>
    </row>
    <row r="19" spans="1:6" ht="14" x14ac:dyDescent="0.25">
      <c r="A19" s="37" t="s">
        <v>46</v>
      </c>
      <c r="B19" s="38">
        <f>100*AVERAGE(Calculations!AN6:AN19)</f>
        <v>-2.043321318140387E-2</v>
      </c>
      <c r="C19" s="38">
        <f>100*AVERAGE(Calculations!AN20:AN31)</f>
        <v>3.4372345793373347</v>
      </c>
      <c r="D19" s="38">
        <f>100*AVERAGE(Calculations!AN32:AN50)</f>
        <v>-1.9317643469778361</v>
      </c>
      <c r="E19" s="38">
        <f>100*AVERAGE(Calculations!AN51:AN61)</f>
        <v>-0.23714382301927012</v>
      </c>
      <c r="F19" s="38">
        <f>100*AVERAGE(Calculations!AN6:AN61)</f>
        <v>2.9440095030669678E-2</v>
      </c>
    </row>
    <row r="20" spans="1:6" ht="14" x14ac:dyDescent="0.25">
      <c r="A20" s="37" t="s">
        <v>50</v>
      </c>
      <c r="B20" s="38">
        <f>100*AVERAGE(Calculations!AO6:AO19)</f>
        <v>-3.4590778289598265E-2</v>
      </c>
      <c r="C20" s="38">
        <f>100*AVERAGE(Calculations!AO20:AO31)</f>
        <v>0.26456678479103385</v>
      </c>
      <c r="D20" s="38">
        <f>100*AVERAGE(Calculations!AO32:AO50)</f>
        <v>-0.16008378844905713</v>
      </c>
      <c r="E20" s="38">
        <f>100*AVERAGE(Calculations!AO51:AO61)</f>
        <v>1.3610771155067687</v>
      </c>
      <c r="F20" s="38">
        <f>100*AVERAGE(Calculations!AO6:AO61)</f>
        <v>0.26108547877643573</v>
      </c>
    </row>
    <row r="21" spans="1:6" ht="14" x14ac:dyDescent="0.25">
      <c r="A21" s="37" t="s">
        <v>52</v>
      </c>
      <c r="B21" s="38">
        <f>100*AVERAGE(Calculations!AP6:AP19)</f>
        <v>0.70986939936521842</v>
      </c>
      <c r="C21" s="38">
        <f>100*AVERAGE(Calculations!AP20:AP31)</f>
        <v>1.0297787466716148</v>
      </c>
      <c r="D21" s="38">
        <f>100*AVERAGE(Calculations!AP32:AP50)</f>
        <v>2.248607212560731</v>
      </c>
      <c r="E21" s="38">
        <f>100*AVERAGE(Calculations!AP51:AP61)</f>
        <v>5.4887185572584718</v>
      </c>
      <c r="F21" s="38">
        <f>100*AVERAGE(Calculations!AP6:AP61)</f>
        <v>2.2391956735655274</v>
      </c>
    </row>
    <row r="22" spans="1:6" ht="14" x14ac:dyDescent="0.25">
      <c r="A22" s="37" t="s">
        <v>3</v>
      </c>
      <c r="B22" s="38">
        <f>SUM(B18:B21)</f>
        <v>0.66598322081183103</v>
      </c>
      <c r="C22" s="38">
        <f>SUM(C18:C21)</f>
        <v>5.6715196014840146</v>
      </c>
      <c r="D22" s="38">
        <f>SUM(D18:D21)</f>
        <v>-7.3244160158593363E-2</v>
      </c>
      <c r="E22" s="38">
        <f>SUM(E18:E21)</f>
        <v>6.0026521160273347</v>
      </c>
      <c r="F22" s="38">
        <f>SUM(F18:F21)</f>
        <v>2.536063116829665</v>
      </c>
    </row>
    <row r="23" spans="1:6" ht="16.75" customHeight="1" x14ac:dyDescent="0.25">
      <c r="A23" s="39" t="s">
        <v>53</v>
      </c>
      <c r="B23" s="39"/>
      <c r="C23" s="39"/>
      <c r="D23" s="39"/>
      <c r="E23" s="39"/>
      <c r="F23" s="39"/>
    </row>
    <row r="24" spans="1:6" ht="14" x14ac:dyDescent="0.25">
      <c r="A24" s="37" t="s">
        <v>54</v>
      </c>
      <c r="B24" s="38">
        <f>100*AVERAGE(Calculations!AQ6:AQ19)</f>
        <v>-0.171173257916094</v>
      </c>
      <c r="C24" s="38">
        <f>100*AVERAGE(Calculations!AQ20:AQ31)</f>
        <v>-0.24978423570859468</v>
      </c>
      <c r="D24" s="38">
        <f>100*AVERAGE(Calculations!AQ32:AQ50)</f>
        <v>-1.5319170463192409</v>
      </c>
      <c r="E24" s="38">
        <f>100*AVERAGE(Calculations!AQ51:AQ61)</f>
        <v>-2.7589895283839474</v>
      </c>
      <c r="F24" s="38">
        <f>100*AVERAGE(Calculations!AQ6:AQ61)</f>
        <v>-1.1580204487788828</v>
      </c>
    </row>
    <row r="25" spans="1:6" ht="14" x14ac:dyDescent="0.25">
      <c r="A25" s="37" t="s">
        <v>60</v>
      </c>
      <c r="B25" s="38">
        <f>100*AVERAGE(Calculations!AR6:AR19)</f>
        <v>-0.12348257466408216</v>
      </c>
      <c r="C25" s="38">
        <f>100*AVERAGE(Calculations!AR20:AR31)</f>
        <v>0.77629266980165157</v>
      </c>
      <c r="D25" s="38">
        <f>100*AVERAGE(Calculations!AR32:AR50)</f>
        <v>0.53511108329205492</v>
      </c>
      <c r="E25" s="38">
        <f>100*AVERAGE(Calculations!AR51:AR61)</f>
        <v>0.32355533445379431</v>
      </c>
      <c r="F25" s="38">
        <f>100*AVERAGE(Calculations!AR6:AR61)</f>
        <v>0.38058884381899016</v>
      </c>
    </row>
    <row r="26" spans="1:6" ht="14" x14ac:dyDescent="0.25">
      <c r="A26" s="37" t="s">
        <v>62</v>
      </c>
      <c r="B26" s="38">
        <f>100*AVERAGE(Calculations!AS6:AS19)</f>
        <v>-0.90475179411798301</v>
      </c>
      <c r="C26" s="38">
        <f>100*AVERAGE(Calculations!AS20:AS31)</f>
        <v>-0.41316441660678871</v>
      </c>
      <c r="D26" s="38">
        <f>100*AVERAGE(Calculations!AS32:AS50)</f>
        <v>-0.89899300638675606</v>
      </c>
      <c r="E26" s="38">
        <f>100*AVERAGE(Calculations!AS51:AS61)</f>
        <v>3.2853245013673655</v>
      </c>
      <c r="F26" s="38">
        <f>100*AVERAGE(Calculations!AS6:AS61)</f>
        <v>2.5592933513561643E-2</v>
      </c>
    </row>
    <row r="27" spans="1:6" ht="14" x14ac:dyDescent="0.25">
      <c r="A27" s="37" t="s">
        <v>66</v>
      </c>
      <c r="B27" s="38">
        <f>100*AVERAGE(Calculations!AT6:AT19)</f>
        <v>1.8653908475099901</v>
      </c>
      <c r="C27" s="38">
        <f>100*AVERAGE(Calculations!AT20:AT31)</f>
        <v>5.5581755839977456</v>
      </c>
      <c r="D27" s="38">
        <f>100*AVERAGE(Calculations!AT32:AT50)</f>
        <v>1.8225548092553481</v>
      </c>
      <c r="E27" s="38">
        <f>100*AVERAGE(Calculations!AT51:AT61)</f>
        <v>5.1527618085901219</v>
      </c>
      <c r="F27" s="38">
        <f>100*AVERAGE(Calculations!AT6:AT61)</f>
        <v>3.2879017882759953</v>
      </c>
    </row>
    <row r="28" spans="1:6" ht="14.5" thickBot="1" x14ac:dyDescent="0.3">
      <c r="A28" s="40" t="s">
        <v>3</v>
      </c>
      <c r="B28" s="41">
        <f>SUM(B24:B27)</f>
        <v>0.66598322081183103</v>
      </c>
      <c r="C28" s="41">
        <f>SUM(C24:C27)</f>
        <v>5.6715196014840137</v>
      </c>
      <c r="D28" s="41">
        <f>SUM(D24:D27)</f>
        <v>-7.3244160158594029E-2</v>
      </c>
      <c r="E28" s="41">
        <f>SUM(E24:E27)</f>
        <v>6.0026521160273347</v>
      </c>
      <c r="F28" s="41">
        <f>SUM(F24:F27)</f>
        <v>2.5360631168296646</v>
      </c>
    </row>
  </sheetData>
  <mergeCells count="2">
    <mergeCell ref="A9:F9"/>
    <mergeCell ref="A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Esquivel</dc:creator>
  <cp:lastModifiedBy>Timothy J Kehoe</cp:lastModifiedBy>
  <dcterms:created xsi:type="dcterms:W3CDTF">2022-02-21T20:58:16Z</dcterms:created>
  <dcterms:modified xsi:type="dcterms:W3CDTF">2022-02-21T23:01:05Z</dcterms:modified>
</cp:coreProperties>
</file>