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theme/themeOverride2.xml" ContentType="application/vnd.openxmlformats-officedocument.themeOverride+xml"/>
  <Override PartName="/xl/charts/chart7.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charts/style3.xml" ContentType="application/vnd.ms-office.chartstyle+xml"/>
  <Override PartName="/xl/charts/colors3.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xml"/>
  <Override PartName="/xl/charts/chart12.xml" ContentType="application/vnd.openxmlformats-officedocument.drawingml.chart+xml"/>
  <Override PartName="/xl/theme/themeOverride4.xml" ContentType="application/vnd.openxmlformats-officedocument.themeOverride+xml"/>
  <Override PartName="/xl/charts/chart13.xml" ContentType="application/vnd.openxmlformats-officedocument.drawingml.chart+xml"/>
  <Override PartName="/xl/theme/themeOverride5.xml" ContentType="application/vnd.openxmlformats-officedocument.themeOverride+xml"/>
  <Override PartName="/xl/drawings/drawing11.xml" ContentType="application/vnd.openxmlformats-officedocument.drawing+xml"/>
  <Override PartName="/xl/charts/chart14.xml" ContentType="application/vnd.openxmlformats-officedocument.drawingml.chart+xml"/>
  <Override PartName="/xl/theme/themeOverride6.xml" ContentType="application/vnd.openxmlformats-officedocument.themeOverride+xml"/>
  <Override PartName="/xl/drawings/drawing12.xml" ContentType="application/vnd.openxmlformats-officedocument.drawing+xml"/>
  <Override PartName="/xl/charts/chart15.xml" ContentType="application/vnd.openxmlformats-officedocument.drawingml.chart+xml"/>
  <Override PartName="/xl/theme/themeOverride7.xml" ContentType="application/vnd.openxmlformats-officedocument.themeOverride+xml"/>
  <Override PartName="/xl/drawings/drawing13.xml" ContentType="application/vnd.openxmlformats-officedocument.drawing+xml"/>
  <Override PartName="/xl/charts/chart16.xml" ContentType="application/vnd.openxmlformats-officedocument.drawingml.chart+xml"/>
  <Override PartName="/xl/theme/themeOverride8.xml" ContentType="application/vnd.openxmlformats-officedocument.themeOverride+xml"/>
  <Override PartName="/xl/drawings/drawing14.xml" ContentType="application/vnd.openxmlformats-officedocument.drawing+xml"/>
  <Override PartName="/xl/charts/chart1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5.xml" ContentType="application/vnd.openxmlformats-officedocument.drawing+xml"/>
  <Override PartName="/xl/charts/chart1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6.xml" ContentType="application/vnd.openxmlformats-officedocument.drawing+xml"/>
  <Override PartName="/xl/comments4.xml" ContentType="application/vnd.openxmlformats-officedocument.spreadsheetml.comments+xml"/>
  <Override PartName="/xl/charts/chart19.xml" ContentType="application/vnd.openxmlformats-officedocument.drawingml.chart+xml"/>
  <Override PartName="/xl/charts/chart20.xml" ContentType="application/vnd.openxmlformats-officedocument.drawingml.chart+xml"/>
  <Override PartName="/xl/drawings/drawing17.xml" ContentType="application/vnd.openxmlformats-officedocument.drawing+xml"/>
  <Override PartName="/xl/comments5.xml" ContentType="application/vnd.openxmlformats-officedocument.spreadsheetml.comments+xml"/>
  <Override PartName="/xl/charts/chart21.xml" ContentType="application/vnd.openxmlformats-officedocument.drawingml.chart+xml"/>
  <Override PartName="/xl/charts/chart22.xml" ContentType="application/vnd.openxmlformats-officedocument.drawingml.chart+xml"/>
  <Override PartName="/xl/drawings/drawing18.xml" ContentType="application/vnd.openxmlformats-officedocument.drawing+xml"/>
  <Override PartName="/xl/comments6.xml" ContentType="application/vnd.openxmlformats-officedocument.spreadsheetml.comments+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9.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drawings/drawing20.xml" ContentType="application/vnd.openxmlformats-officedocument.drawing+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style7.xml" ContentType="application/vnd.ms-office.chartstyle+xml"/>
  <Override PartName="/xl/charts/colors7.xml" ContentType="application/vnd.ms-office.chartcolorstyle+xml"/>
  <Override PartName="/xl/comments7.xml" ContentType="application/vnd.openxmlformats-officedocument.spreadsheetml.comments+xml"/>
  <Override PartName="/xl/drawings/drawing21.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2.xml" ContentType="application/vnd.openxmlformats-officedocument.drawing+xml"/>
  <Override PartName="/xl/comments8.xml" ContentType="application/vnd.openxmlformats-officedocument.spreadsheetml.comments+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drawings/drawing23.xml" ContentType="application/vnd.openxmlformats-officedocument.drawingml.chartshapes+xml"/>
  <Override PartName="/xl/charts/chart73.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omments9.xml" ContentType="application/vnd.openxmlformats-officedocument.spreadsheetml.comments+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drawings/drawing27.xml" ContentType="application/vnd.openxmlformats-officedocument.drawing+xml"/>
  <Override PartName="/xl/charts/chart83.xml" ContentType="application/vnd.openxmlformats-officedocument.drawingml.chart+xml"/>
  <Override PartName="/xl/charts/chart84.xml" ContentType="application/vnd.openxmlformats-officedocument.drawingml.chart+xml"/>
  <Override PartName="/xl/charts/style8.xml" ContentType="application/vnd.ms-office.chartstyle+xml"/>
  <Override PartName="/xl/charts/colors8.xml" ContentType="application/vnd.ms-office.chartcolorstyle+xml"/>
  <Override PartName="/xl/charts/chart85.xml" ContentType="application/vnd.openxmlformats-officedocument.drawingml.chart+xml"/>
  <Override PartName="/xl/charts/style9.xml" ContentType="application/vnd.ms-office.chartstyle+xml"/>
  <Override PartName="/xl/charts/colors9.xml" ContentType="application/vnd.ms-office.chartcolorstyle+xml"/>
  <Override PartName="/xl/charts/chart86.xml" ContentType="application/vnd.openxmlformats-officedocument.drawingml.chart+xml"/>
  <Override PartName="/xl/charts/style10.xml" ContentType="application/vnd.ms-office.chartstyle+xml"/>
  <Override PartName="/xl/charts/colors10.xml" ContentType="application/vnd.ms-office.chartcolorstyle+xml"/>
  <Override PartName="/xl/charts/chart87.xml" ContentType="application/vnd.openxmlformats-officedocument.drawingml.chart+xml"/>
  <Override PartName="/xl/charts/style11.xml" ContentType="application/vnd.ms-office.chartstyle+xml"/>
  <Override PartName="/xl/charts/colors11.xml" ContentType="application/vnd.ms-office.chartcolorstyle+xml"/>
  <Override PartName="/xl/charts/chart88.xml" ContentType="application/vnd.openxmlformats-officedocument.drawingml.chart+xml"/>
  <Override PartName="/xl/charts/style12.xml" ContentType="application/vnd.ms-office.chartstyle+xml"/>
  <Override PartName="/xl/charts/colors12.xml" ContentType="application/vnd.ms-office.chartcolorstyle+xml"/>
  <Override PartName="/xl/charts/chart89.xml" ContentType="application/vnd.openxmlformats-officedocument.drawingml.chart+xml"/>
  <Override PartName="/xl/charts/style13.xml" ContentType="application/vnd.ms-office.chartstyle+xml"/>
  <Override PartName="/xl/charts/colors13.xml" ContentType="application/vnd.ms-office.chartcolorstyle+xml"/>
  <Override PartName="/xl/charts/chart90.xml" ContentType="application/vnd.openxmlformats-officedocument.drawingml.chart+xml"/>
  <Override PartName="/xl/charts/style14.xml" ContentType="application/vnd.ms-office.chartstyle+xml"/>
  <Override PartName="/xl/charts/colors14.xml" ContentType="application/vnd.ms-office.chartcolorstyle+xml"/>
  <Override PartName="/xl/charts/chart91.xml" ContentType="application/vnd.openxmlformats-officedocument.drawingml.chart+xml"/>
  <Override PartName="/xl/charts/style15.xml" ContentType="application/vnd.ms-office.chartstyle+xml"/>
  <Override PartName="/xl/charts/colors15.xml" ContentType="application/vnd.ms-office.chartcolorstyle+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style16.xml" ContentType="application/vnd.ms-office.chartstyle+xml"/>
  <Override PartName="/xl/charts/colors16.xml" ContentType="application/vnd.ms-office.chartcolorstyle+xml"/>
  <Override PartName="/xl/charts/chart105.xml" ContentType="application/vnd.openxmlformats-officedocument.drawingml.chart+xml"/>
  <Override PartName="/xl/charts/style17.xml" ContentType="application/vnd.ms-office.chartstyle+xml"/>
  <Override PartName="/xl/charts/colors17.xml" ContentType="application/vnd.ms-office.chartcolorstyle+xml"/>
  <Override PartName="/xl/charts/chart106.xml" ContentType="application/vnd.openxmlformats-officedocument.drawingml.chart+xml"/>
  <Override PartName="/xl/charts/style18.xml" ContentType="application/vnd.ms-office.chartstyle+xml"/>
  <Override PartName="/xl/charts/colors18.xml" ContentType="application/vnd.ms-office.chartcolorstyle+xml"/>
  <Override PartName="/xl/charts/chart107.xml" ContentType="application/vnd.openxmlformats-officedocument.drawingml.chart+xml"/>
  <Override PartName="/xl/charts/style19.xml" ContentType="application/vnd.ms-office.chartstyle+xml"/>
  <Override PartName="/xl/charts/colors19.xml" ContentType="application/vnd.ms-office.chartcolorstyle+xml"/>
  <Override PartName="/xl/charts/chart108.xml" ContentType="application/vnd.openxmlformats-officedocument.drawingml.chart+xml"/>
  <Override PartName="/xl/charts/style20.xml" ContentType="application/vnd.ms-office.chartstyle+xml"/>
  <Override PartName="/xl/charts/colors20.xml" ContentType="application/vnd.ms-office.chartcolorstyle+xml"/>
  <Override PartName="/xl/charts/chart109.xml" ContentType="application/vnd.openxmlformats-officedocument.drawingml.chart+xml"/>
  <Override PartName="/xl/charts/style21.xml" ContentType="application/vnd.ms-office.chartstyle+xml"/>
  <Override PartName="/xl/charts/colors21.xml" ContentType="application/vnd.ms-office.chartcolorstyle+xml"/>
  <Override PartName="/xl/charts/chart110.xml" ContentType="application/vnd.openxmlformats-officedocument.drawingml.chart+xml"/>
  <Override PartName="/xl/charts/style22.xml" ContentType="application/vnd.ms-office.chartstyle+xml"/>
  <Override PartName="/xl/charts/colors22.xml" ContentType="application/vnd.ms-office.chartcolorstyle+xml"/>
  <Override PartName="/xl/charts/chart111.xml" ContentType="application/vnd.openxmlformats-officedocument.drawingml.chart+xml"/>
  <Override PartName="/xl/charts/style23.xml" ContentType="application/vnd.ms-office.chartstyle+xml"/>
  <Override PartName="/xl/charts/colors23.xml" ContentType="application/vnd.ms-office.chartcolorstyle+xml"/>
  <Override PartName="/xl/charts/chart112.xml" ContentType="application/vnd.openxmlformats-officedocument.drawingml.chart+xml"/>
  <Override PartName="/xl/charts/style24.xml" ContentType="application/vnd.ms-office.chartstyle+xml"/>
  <Override PartName="/xl/charts/colors24.xml" ContentType="application/vnd.ms-office.chartcolorstyle+xml"/>
  <Override PartName="/xl/charts/chart113.xml" ContentType="application/vnd.openxmlformats-officedocument.drawingml.chart+xml"/>
  <Override PartName="/xl/charts/style25.xml" ContentType="application/vnd.ms-office.chartstyle+xml"/>
  <Override PartName="/xl/charts/colors25.xml" ContentType="application/vnd.ms-office.chartcolorstyle+xml"/>
  <Override PartName="/xl/charts/chart114.xml" ContentType="application/vnd.openxmlformats-officedocument.drawingml.chart+xml"/>
  <Override PartName="/xl/charts/style26.xml" ContentType="application/vnd.ms-office.chartstyle+xml"/>
  <Override PartName="/xl/charts/colors26.xml" ContentType="application/vnd.ms-office.chartcolorstyle+xml"/>
  <Override PartName="/xl/charts/chart115.xml" ContentType="application/vnd.openxmlformats-officedocument.drawingml.chart+xml"/>
  <Override PartName="/xl/charts/style27.xml" ContentType="application/vnd.ms-office.chartstyle+xml"/>
  <Override PartName="/xl/charts/colors27.xml" ContentType="application/vnd.ms-office.chartcolorstyle+xml"/>
  <Override PartName="/xl/charts/chart1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e265\Dropbox\Proyecto América Latina - Marzo 2017\Graphs Format\Paraguay\"/>
    </mc:Choice>
  </mc:AlternateContent>
  <bookViews>
    <workbookView xWindow="2568" yWindow="468" windowWidth="23040" windowHeight="14280" tabRatio="826" firstSheet="20" activeTab="27"/>
  </bookViews>
  <sheets>
    <sheet name="Real GDP pc" sheetId="47" r:id="rId1"/>
    <sheet name="Figure 1" sheetId="84" r:id="rId2"/>
    <sheet name="Inflation" sheetId="63" r:id="rId3"/>
    <sheet name="Figure 2" sheetId="85" r:id="rId4"/>
    <sheet name="1" sheetId="6" state="hidden" r:id="rId5"/>
    <sheet name="2" sheetId="7" state="hidden" r:id="rId6"/>
    <sheet name="3" sheetId="5" state="hidden" r:id="rId7"/>
    <sheet name="9" sheetId="12" state="hidden" r:id="rId8"/>
    <sheet name="10" sheetId="16" state="hidden" r:id="rId9"/>
    <sheet name="11" sheetId="17" state="hidden" r:id="rId10"/>
    <sheet name="12" sheetId="26" state="hidden" r:id="rId11"/>
    <sheet name="13" sheetId="20" state="hidden" r:id="rId12"/>
    <sheet name="14" sheetId="19" state="hidden" r:id="rId13"/>
    <sheet name="15" sheetId="10" state="hidden" r:id="rId14"/>
    <sheet name="Deficit" sheetId="3" r:id="rId15"/>
    <sheet name="Figure 3" sheetId="86" r:id="rId16"/>
    <sheet name="Figure 4" sheetId="87" r:id="rId17"/>
    <sheet name="Debt" sheetId="53" r:id="rId18"/>
    <sheet name="Figure 5" sheetId="88" r:id="rId19"/>
    <sheet name="Figure 6" sheetId="89" r:id="rId20"/>
    <sheet name="Data Figures 7, 8, 9" sheetId="98" r:id="rId21"/>
    <sheet name="Figure 7" sheetId="101" r:id="rId22"/>
    <sheet name="Figure 8" sheetId="94" r:id="rId23"/>
    <sheet name="Figure 9" sheetId="95" r:id="rId24"/>
    <sheet name="Figure 10" sheetId="90" r:id="rId25"/>
    <sheet name="Figure 11" sheetId="100" r:id="rId26"/>
    <sheet name="Figure 12" sheetId="99" r:id="rId27"/>
    <sheet name="Figure 13" sheetId="93" r:id="rId28"/>
    <sheet name="Figure 14" sheetId="91" r:id="rId29"/>
    <sheet name="Figure 15" sheetId="92" r:id="rId30"/>
    <sheet name="Budget accounting" sheetId="83" r:id="rId31"/>
    <sheet name="IR" sheetId="79" r:id="rId32"/>
    <sheet name="RER" sheetId="78" r:id="rId33"/>
    <sheet name="Multiple Exchange rate" sheetId="68" r:id="rId34"/>
    <sheet name="Credits to the Private Sector" sheetId="75" r:id="rId35"/>
    <sheet name="Data figure 16" sheetId="96" r:id="rId36"/>
    <sheet name="Figure 16" sheetId="97" r:id="rId37"/>
    <sheet name="Data figure 17" sheetId="102" r:id="rId38"/>
    <sheet name="Figure 17" sheetId="103" r:id="rId39"/>
    <sheet name="17" sheetId="11" state="hidden" r:id="rId40"/>
    <sheet name="18" sheetId="23" state="hidden" r:id="rId41"/>
    <sheet name="19" sheetId="50" state="hidden" r:id="rId42"/>
    <sheet name="20" sheetId="13" state="hidden" r:id="rId43"/>
    <sheet name="Bibliografía" sheetId="21" state="hidden" r:id="rId44"/>
    <sheet name="Base_BOP" sheetId="27" state="hidden" r:id="rId45"/>
    <sheet name="1960-1973" sheetId="37" state="hidden" r:id="rId46"/>
    <sheet name="1974-1989" sheetId="28" state="hidden" r:id="rId47"/>
    <sheet name="Base_Budget Constraint" sheetId="32" state="hidden" r:id="rId48"/>
    <sheet name="Budget Constraint" sheetId="34" state="hidden" r:id="rId49"/>
    <sheet name="PIB_DA" sheetId="35" state="hidden" r:id="rId50"/>
    <sheet name="BC reducida" sheetId="58" state="hidden" r:id="rId51"/>
    <sheet name="Calculo_TCR" sheetId="51" state="hidden" r:id="rId52"/>
    <sheet name="Base_Graficos" sheetId="42" state="hidden" r:id="rId53"/>
    <sheet name="Crec PIB" sheetId="44" state="hidden" r:id="rId54"/>
    <sheet name="GDP GROWTH TABLE" sheetId="45" state="hidden" r:id="rId55"/>
    <sheet name="Commodities" sheetId="36" state="hidden" r:id="rId56"/>
    <sheet name="checklist" sheetId="57" state="hidden" r:id="rId57"/>
    <sheet name="List" sheetId="64" state="hidden" r:id="rId58"/>
    <sheet name="GRAFICOS para paper" sheetId="48" state="hidden" r:id="rId59"/>
  </sheets>
  <externalReferences>
    <externalReference r:id="rId60"/>
    <externalReference r:id="rId61"/>
    <externalReference r:id="rId62"/>
  </externalReferences>
  <definedNames>
    <definedName name="__NA1" localSheetId="31">[1]bonos!#REF!</definedName>
    <definedName name="__NA1" localSheetId="32">[1]bonos!#REF!</definedName>
    <definedName name="__NA1">[1]bonos!#REF!</definedName>
    <definedName name="__NA2" localSheetId="31">[1]bonos!#REF!</definedName>
    <definedName name="__NA2" localSheetId="32">[1]bonos!#REF!</definedName>
    <definedName name="__NA2">[1]bonos!#REF!</definedName>
    <definedName name="__NA3" localSheetId="31">[1]bonos!#REF!</definedName>
    <definedName name="__NA3" localSheetId="32">[1]bonos!#REF!</definedName>
    <definedName name="__NA3">[1]bonos!#REF!</definedName>
    <definedName name="__NB1" localSheetId="31">[1]bonos!#REF!</definedName>
    <definedName name="__NB1" localSheetId="32">[1]bonos!#REF!</definedName>
    <definedName name="__NB1">[1]bonos!#REF!</definedName>
    <definedName name="__NB2" localSheetId="31">[1]bonos!#REF!</definedName>
    <definedName name="__NB2" localSheetId="32">[1]bonos!#REF!</definedName>
    <definedName name="__NB2">[1]bonos!#REF!</definedName>
    <definedName name="__NB3" localSheetId="31">[1]bonos!#REF!</definedName>
    <definedName name="__NB3">[1]bonos!#REF!</definedName>
    <definedName name="__NC1" localSheetId="31">[1]bonos!#REF!</definedName>
    <definedName name="__NC1">[1]bonos!#REF!</definedName>
    <definedName name="__NC3" localSheetId="31">[1]bonos!#REF!</definedName>
    <definedName name="__NC3">[1]bonos!#REF!</definedName>
    <definedName name="__NC4" localSheetId="31">[1]bonos!#REF!</definedName>
    <definedName name="__NC4">[1]bonos!#REF!</definedName>
    <definedName name="_xlnm._FilterDatabase" localSheetId="54" hidden="1">'GDP GROWTH TABLE'!$A$36:$BQ$36</definedName>
    <definedName name="_pib05" localSheetId="32">[2]FISCALMH!$BY$154</definedName>
    <definedName name="_pib05">[3]FISCALMH!$BY$154</definedName>
    <definedName name="A_IMPRESIÓN_IM">#N/A</definedName>
    <definedName name="alpha" localSheetId="31">#REF!</definedName>
    <definedName name="alpha">#REF!</definedName>
    <definedName name="BIO" localSheetId="31">[1]bonos!#REF!</definedName>
    <definedName name="BIO" localSheetId="32">[1]bonos!#REF!</definedName>
    <definedName name="BIO">[1]bonos!#REF!</definedName>
    <definedName name="C_" localSheetId="31">[1]bonos!#REF!</definedName>
    <definedName name="C_" localSheetId="32">[1]bonos!#REF!</definedName>
    <definedName name="C_">[1]bonos!#REF!</definedName>
    <definedName name="COPI" localSheetId="32" hidden="1">{"P-3",#N/A,FALSE,"P-3";"P-4",#N/A,FALSE,"P-3";"P-5",#N/A,FALSE,"P-3";"P-6",#N/A,FALSE,"P-3";"P-7",#N/A,FALSE,"P-3";"P-9",#N/A,FALSE,"P-3";"P-10",#N/A,FALSE,"P-3";"P-11",#N/A,FALSE,"P-3";"P-12",#N/A,FALSE,"P-3";"P-15",#N/A,FALSE,"P-3";"P-16",#N/A,FALSE,"P-3";"P-17",#N/A,FALSE,"P-3";"P-18",#N/A,FALSE,"P-3";"P-19",#N/A,FALSE,"P-3";"P-20",#N/A,FALSE,"P-3";"P-21",#N/A,FALSE,"P-3";"P-22",#N/A,FALSE,"P-3";"P-23",#N/A,FALSE,"P-3";"P-24",#N/A,FALSE,"P-3";"P-25",#N/A,FALSE,"P-3";"P-26",#N/A,FALSE,"P-3";"P-27",#N/A,FALSE,"P-3";"P-28",#N/A,FALSE,"P-3";"P-30",#N/A,FALSE,"P-3";"P-31",#N/A,FALSE,"P-3";"P-32",#N/A,FALSE,"P-3";"P-33",#N/A,FALSE,"P-3";"P-35",#N/A,FALSE,"P-3";"P-36",#N/A,FALSE,"P-3";"P-37",#N/A,FALSE,"P-3";"P-38",#N/A,FALSE,"P-3";"P-39",#N/A,FALSE,"P-3";"P-40",#N/A,FALSE,"P-3";"P-41",#N/A,FALSE,"P-3";"p-42",#N/A,FALSE,"P-3";"p-43",#N/A,FALSE,"P-3";"p-44",#N/A,FALSE,"P-3";"P-45",#N/A,FALSE,"P-3";"P-46",#N/A,FALSE,"P-3";"P-47",#N/A,FALSE,"P-3";"P-48",#N/A,FALSE,"P-3";"P-49",#N/A,FALSE,"P-3";"P-50",#N/A,FALSE,"P-3";"P-51",#N/A,FALSE,"P-3";"P-52",#N/A,FALSE,"P-3";"P-53",#N/A,FALSE,"P-3";"P-54",#N/A,FALSE,"P-3";"P-55",#N/A,FALSE,"P-3";"P-56",#N/A,FALSE,"P-3";"P-57",#N/A,FALSE,"P-3";"P-58",#N/A,FALSE,"P-3";"P-59",#N/A,FALSE,"P-3";"P-61",#N/A,FALSE,"P-3";"P-62",#N/A,FALSE,"P-3";"P-63",#N/A,FALSE,"P-3";"P-64",#N/A,FALSE,"P-3";"P-65",#N/A,FALSE,"P-3";"P-66",#N/A,FALSE,"P-3";"P-67",#N/A,FALSE,"P-3";"P-69",#N/A,FALSE,"P-3";"P-70",#N/A,FALSE,"P-3";"P-71",#N/A,FALSE,"P-3";"P-72",#N/A,FALSE,"P-3";"P-73",#N/A,FALSE,"P-3";"P-74",#N/A,FALSE,"P-3";"P-75",#N/A,FALSE,"P-3";"P-76",#N/A,FALSE,"P-3";"P-77",#N/A,FALSE,"P-3";"P-79",#N/A,FALSE,"P-3"}</definedName>
    <definedName name="COPI" hidden="1">{"P-3",#N/A,FALSE,"P-3";"P-4",#N/A,FALSE,"P-3";"P-5",#N/A,FALSE,"P-3";"P-6",#N/A,FALSE,"P-3";"P-7",#N/A,FALSE,"P-3";"P-9",#N/A,FALSE,"P-3";"P-10",#N/A,FALSE,"P-3";"P-11",#N/A,FALSE,"P-3";"P-12",#N/A,FALSE,"P-3";"P-15",#N/A,FALSE,"P-3";"P-16",#N/A,FALSE,"P-3";"P-17",#N/A,FALSE,"P-3";"P-18",#N/A,FALSE,"P-3";"P-19",#N/A,FALSE,"P-3";"P-20",#N/A,FALSE,"P-3";"P-21",#N/A,FALSE,"P-3";"P-22",#N/A,FALSE,"P-3";"P-23",#N/A,FALSE,"P-3";"P-24",#N/A,FALSE,"P-3";"P-25",#N/A,FALSE,"P-3";"P-26",#N/A,FALSE,"P-3";"P-27",#N/A,FALSE,"P-3";"P-28",#N/A,FALSE,"P-3";"P-30",#N/A,FALSE,"P-3";"P-31",#N/A,FALSE,"P-3";"P-32",#N/A,FALSE,"P-3";"P-33",#N/A,FALSE,"P-3";"P-35",#N/A,FALSE,"P-3";"P-36",#N/A,FALSE,"P-3";"P-37",#N/A,FALSE,"P-3";"P-38",#N/A,FALSE,"P-3";"P-39",#N/A,FALSE,"P-3";"P-40",#N/A,FALSE,"P-3";"P-41",#N/A,FALSE,"P-3";"p-42",#N/A,FALSE,"P-3";"p-43",#N/A,FALSE,"P-3";"p-44",#N/A,FALSE,"P-3";"P-45",#N/A,FALSE,"P-3";"P-46",#N/A,FALSE,"P-3";"P-47",#N/A,FALSE,"P-3";"P-48",#N/A,FALSE,"P-3";"P-49",#N/A,FALSE,"P-3";"P-50",#N/A,FALSE,"P-3";"P-51",#N/A,FALSE,"P-3";"P-52",#N/A,FALSE,"P-3";"P-53",#N/A,FALSE,"P-3";"P-54",#N/A,FALSE,"P-3";"P-55",#N/A,FALSE,"P-3";"P-56",#N/A,FALSE,"P-3";"P-57",#N/A,FALSE,"P-3";"P-58",#N/A,FALSE,"P-3";"P-59",#N/A,FALSE,"P-3";"P-61",#N/A,FALSE,"P-3";"P-62",#N/A,FALSE,"P-3";"P-63",#N/A,FALSE,"P-3";"P-64",#N/A,FALSE,"P-3";"P-65",#N/A,FALSE,"P-3";"P-66",#N/A,FALSE,"P-3";"P-67",#N/A,FALSE,"P-3";"P-69",#N/A,FALSE,"P-3";"P-70",#N/A,FALSE,"P-3";"P-71",#N/A,FALSE,"P-3";"P-72",#N/A,FALSE,"P-3";"P-73",#N/A,FALSE,"P-3";"P-74",#N/A,FALSE,"P-3";"P-75",#N/A,FALSE,"P-3";"P-76",#N/A,FALSE,"P-3";"P-77",#N/A,FALSE,"P-3";"P-79",#N/A,FALSE,"P-3"}</definedName>
    <definedName name="COPIA" localSheetId="32" hidden="1">{#N/A,#N/A,FALSE,"1PIB";#N/A,#N/A,FALSE,"2IMAE";#N/A,#N/A,FALSE,"3AGRICOLA";#N/A,#N/A,FALSE,"4SALMIN";#N/A,#N/A,FALSE,"5SALOB";#N/A,#N/A,FALSE,"6INTAR";#N/A,#N/A,FALSE,"7IPC";#N/A,#N/A,FALSE,"8IPC-GRUPOS1";#N/A,#N/A,FALSE,"8IPC-GRUPOS2";#N/A,#N/A,FALSE,"9IPP";#N/A,#N/A,FALSE,"10BALMON";#N/A,#N/A,FALSE,"11DEUIN";#N/A,#N/A,FALSE,"12IRM";#N/A,#N/A,FALSE,"13OPECAM";#N/A,#N/A,FALSE,"14AGREM";#N/A,#N/A,FALSE,"15DEPRIV";#N/A,#N/A,FALSE,"16CREDI";#N/A,#N/A,FALSE,"17TASIN";#N/A,#N/A,FALSE,"18OPERBO";#N/A,#N/A,FALSE,"19DEPSPU";#N/A,#N/A,FALSE,"20EJEPRE";#N/A,#N/A,FALSE,"21BALPAG";#N/A,#N/A,FALSE,"22EXPORT";#N/A,#N/A,FALSE,"23EXPAIS";#N/A,#N/A,FALSE,"24PRECIO";#N/A,#N/A,FALSE,"25IMPORT";#N/A,#N/A,FALSE,"26BINACI";#N/A,#N/A,FALSE,"27DEUEX";#N/A,#N/A,FALSE,"28RESERV";#N/A,#N/A,FALSE,"29ACTEXT";#N/A,#N/A,FALSE,"30INTCOL";#N/A,#N/A,FALSE,"31TIPCAM"}</definedName>
    <definedName name="COPIA" hidden="1">{#N/A,#N/A,FALSE,"1PIB";#N/A,#N/A,FALSE,"2IMAE";#N/A,#N/A,FALSE,"3AGRICOLA";#N/A,#N/A,FALSE,"4SALMIN";#N/A,#N/A,FALSE,"5SALOB";#N/A,#N/A,FALSE,"6INTAR";#N/A,#N/A,FALSE,"7IPC";#N/A,#N/A,FALSE,"8IPC-GRUPOS1";#N/A,#N/A,FALSE,"8IPC-GRUPOS2";#N/A,#N/A,FALSE,"9IPP";#N/A,#N/A,FALSE,"10BALMON";#N/A,#N/A,FALSE,"11DEUIN";#N/A,#N/A,FALSE,"12IRM";#N/A,#N/A,FALSE,"13OPECAM";#N/A,#N/A,FALSE,"14AGREM";#N/A,#N/A,FALSE,"15DEPRIV";#N/A,#N/A,FALSE,"16CREDI";#N/A,#N/A,FALSE,"17TASIN";#N/A,#N/A,FALSE,"18OPERBO";#N/A,#N/A,FALSE,"19DEPSPU";#N/A,#N/A,FALSE,"20EJEPRE";#N/A,#N/A,FALSE,"21BALPAG";#N/A,#N/A,FALSE,"22EXPORT";#N/A,#N/A,FALSE,"23EXPAIS";#N/A,#N/A,FALSE,"24PRECIO";#N/A,#N/A,FALSE,"25IMPORT";#N/A,#N/A,FALSE,"26BINACI";#N/A,#N/A,FALSE,"27DEUEX";#N/A,#N/A,FALSE,"28RESERV";#N/A,#N/A,FALSE,"29ACTEXT";#N/A,#N/A,FALSE,"30INTCOL";#N/A,#N/A,FALSE,"31TIPCAM"}</definedName>
    <definedName name="fg" hidden="1">TRUE</definedName>
    <definedName name="HTML_CodePage" hidden="1">1252</definedName>
    <definedName name="HTML_Control" localSheetId="32" hidden="1">{"'123Intar'!$A$2:$I$77"}</definedName>
    <definedName name="HTML_Control" hidden="1">{"'123Intar'!$A$2:$I$77"}</definedName>
    <definedName name="HTML_Description" hidden="1">""</definedName>
    <definedName name="HTML_Email" hidden="1">"uep@bcp.gov.py"</definedName>
    <definedName name="HTML_Header" hidden="1">""</definedName>
    <definedName name="HTML_LastUpdate" hidden="1">"15/12/99"</definedName>
    <definedName name="HTML_LineAfter" hidden="1">FALSE</definedName>
    <definedName name="HTML_LineBefore" hidden="1">FALSE</definedName>
    <definedName name="HTML_Name" hidden="1">"Unidad de Estudios y Publicaciones"</definedName>
    <definedName name="HTML_OBDlg2" hidden="1">TRUE</definedName>
    <definedName name="HTML_OBDlg4" hidden="1">TRUE</definedName>
    <definedName name="HTML_OS" hidden="1">0</definedName>
    <definedName name="HTML_PathFile" hidden="1">"C:\12Web\Estadisticas\1999\02 Trimestre\123intar.htm"</definedName>
    <definedName name="HTML_Title" hidden="1">""</definedName>
    <definedName name="INDICES" localSheetId="31">#REF!</definedName>
    <definedName name="INDICES">#REF!</definedName>
    <definedName name="nflsdnlsffds" hidden="1">"C:\MSOfficespa\Plantillas\HTML.htm"</definedName>
    <definedName name="ºº" localSheetId="32" hidden="1">{"'P-3'!$A$6:$R$41"}</definedName>
    <definedName name="ºº" hidden="1">{"'P-3'!$A$6:$R$41"}</definedName>
    <definedName name="resumen" localSheetId="31">#REF!</definedName>
    <definedName name="resumen" localSheetId="32">#REF!</definedName>
    <definedName name="resumen">#REF!</definedName>
    <definedName name="wrn.Apendice._.Estadistico." localSheetId="32" hidden="1">{#N/A,#N/A,FALSE,"1PIB";#N/A,#N/A,FALSE,"2IMAE";#N/A,#N/A,FALSE,"3AGRICOLA";#N/A,#N/A,FALSE,"4SALMIN";#N/A,#N/A,FALSE,"5SALOB";#N/A,#N/A,FALSE,"6INTAR";#N/A,#N/A,FALSE,"7IPC";#N/A,#N/A,FALSE,"8IPC-GRUPOS1";#N/A,#N/A,FALSE,"8IPC-GRUPOS2";#N/A,#N/A,FALSE,"9IPP";#N/A,#N/A,FALSE,"10BALMON";#N/A,#N/A,FALSE,"11DEUIN";#N/A,#N/A,FALSE,"12IRM";#N/A,#N/A,FALSE,"13OPECAM";#N/A,#N/A,FALSE,"14AGREM";#N/A,#N/A,FALSE,"15DEPRIV";#N/A,#N/A,FALSE,"16CREDI";#N/A,#N/A,FALSE,"17TASIN";#N/A,#N/A,FALSE,"18OPERBO";#N/A,#N/A,FALSE,"19DEPSPU";#N/A,#N/A,FALSE,"20EJEPRE";#N/A,#N/A,FALSE,"21BALPAG";#N/A,#N/A,FALSE,"22EXPORT";#N/A,#N/A,FALSE,"23EXPAIS";#N/A,#N/A,FALSE,"24PRECIO";#N/A,#N/A,FALSE,"25IMPORT";#N/A,#N/A,FALSE,"26BINACI";#N/A,#N/A,FALSE,"27DEUEX";#N/A,#N/A,FALSE,"28RESERV";#N/A,#N/A,FALSE,"29ACTEXT";#N/A,#N/A,FALSE,"30INTCOL";#N/A,#N/A,FALSE,"31TIPCAM"}</definedName>
    <definedName name="wrn.Apendice._.Estadistico." hidden="1">{#N/A,#N/A,FALSE,"1PIB";#N/A,#N/A,FALSE,"2IMAE";#N/A,#N/A,FALSE,"3AGRICOLA";#N/A,#N/A,FALSE,"4SALMIN";#N/A,#N/A,FALSE,"5SALOB";#N/A,#N/A,FALSE,"6INTAR";#N/A,#N/A,FALSE,"7IPC";#N/A,#N/A,FALSE,"8IPC-GRUPOS1";#N/A,#N/A,FALSE,"8IPC-GRUPOS2";#N/A,#N/A,FALSE,"9IPP";#N/A,#N/A,FALSE,"10BALMON";#N/A,#N/A,FALSE,"11DEUIN";#N/A,#N/A,FALSE,"12IRM";#N/A,#N/A,FALSE,"13OPECAM";#N/A,#N/A,FALSE,"14AGREM";#N/A,#N/A,FALSE,"15DEPRIV";#N/A,#N/A,FALSE,"16CREDI";#N/A,#N/A,FALSE,"17TASIN";#N/A,#N/A,FALSE,"18OPERBO";#N/A,#N/A,FALSE,"19DEPSPU";#N/A,#N/A,FALSE,"20EJEPRE";#N/A,#N/A,FALSE,"21BALPAG";#N/A,#N/A,FALSE,"22EXPORT";#N/A,#N/A,FALSE,"23EXPAIS";#N/A,#N/A,FALSE,"24PRECIO";#N/A,#N/A,FALSE,"25IMPORT";#N/A,#N/A,FALSE,"26BINACI";#N/A,#N/A,FALSE,"27DEUEX";#N/A,#N/A,FALSE,"28RESERV";#N/A,#N/A,FALSE,"29ACTEXT";#N/A,#N/A,FALSE,"30INTCOL";#N/A,#N/A,FALSE,"31TIPCAM"}</definedName>
    <definedName name="wrn.PRIMER._.BORRADOR." localSheetId="32" hidden="1">{"P-3",#N/A,FALSE,"P-3";"P-4",#N/A,FALSE,"P-3";"P-5",#N/A,FALSE,"P-3";"P-6",#N/A,FALSE,"P-3";"P-7",#N/A,FALSE,"P-3";"P-9",#N/A,FALSE,"P-3";"P-10",#N/A,FALSE,"P-3";"P-11",#N/A,FALSE,"P-3";"P-12",#N/A,FALSE,"P-3";"P-15",#N/A,FALSE,"P-3";"P-16",#N/A,FALSE,"P-3";"P-17",#N/A,FALSE,"P-3";"P-18",#N/A,FALSE,"P-3";"P-19",#N/A,FALSE,"P-3";"P-20",#N/A,FALSE,"P-3";"P-21",#N/A,FALSE,"P-3";"P-22",#N/A,FALSE,"P-3";"P-23",#N/A,FALSE,"P-3";"P-24",#N/A,FALSE,"P-3";"P-25",#N/A,FALSE,"P-3";"P-26",#N/A,FALSE,"P-3";"P-27",#N/A,FALSE,"P-3";"P-28",#N/A,FALSE,"P-3";"P-30",#N/A,FALSE,"P-3";"P-31",#N/A,FALSE,"P-3";"P-32",#N/A,FALSE,"P-3";"P-33",#N/A,FALSE,"P-3";"P-35",#N/A,FALSE,"P-3";"P-36",#N/A,FALSE,"P-3";"P-37",#N/A,FALSE,"P-3";"P-38",#N/A,FALSE,"P-3";"P-39",#N/A,FALSE,"P-3";"P-40",#N/A,FALSE,"P-3";"P-41",#N/A,FALSE,"P-3";"p-42",#N/A,FALSE,"P-3";"p-43",#N/A,FALSE,"P-3";"p-44",#N/A,FALSE,"P-3";"P-45",#N/A,FALSE,"P-3";"P-46",#N/A,FALSE,"P-3";"P-47",#N/A,FALSE,"P-3";"P-48",#N/A,FALSE,"P-3";"P-49",#N/A,FALSE,"P-3";"P-50",#N/A,FALSE,"P-3";"P-51",#N/A,FALSE,"P-3";"P-52",#N/A,FALSE,"P-3";"P-53",#N/A,FALSE,"P-3";"P-54",#N/A,FALSE,"P-3";"P-55",#N/A,FALSE,"P-3";"P-56",#N/A,FALSE,"P-3";"P-57",#N/A,FALSE,"P-3";"P-58",#N/A,FALSE,"P-3";"P-59",#N/A,FALSE,"P-3";"P-61",#N/A,FALSE,"P-3";"P-62",#N/A,FALSE,"P-3";"P-63",#N/A,FALSE,"P-3";"P-64",#N/A,FALSE,"P-3";"P-65",#N/A,FALSE,"P-3";"P-66",#N/A,FALSE,"P-3";"P-67",#N/A,FALSE,"P-3";"P-69",#N/A,FALSE,"P-3";"P-70",#N/A,FALSE,"P-3";"P-71",#N/A,FALSE,"P-3";"P-72",#N/A,FALSE,"P-3";"P-73",#N/A,FALSE,"P-3";"P-74",#N/A,FALSE,"P-3";"P-75",#N/A,FALSE,"P-3";"P-76",#N/A,FALSE,"P-3";"P-77",#N/A,FALSE,"P-3";"P-79",#N/A,FALSE,"P-3"}</definedName>
    <definedName name="wrn.PRIMER._.BORRADOR." hidden="1">{"P-3",#N/A,FALSE,"P-3";"P-4",#N/A,FALSE,"P-3";"P-5",#N/A,FALSE,"P-3";"P-6",#N/A,FALSE,"P-3";"P-7",#N/A,FALSE,"P-3";"P-9",#N/A,FALSE,"P-3";"P-10",#N/A,FALSE,"P-3";"P-11",#N/A,FALSE,"P-3";"P-12",#N/A,FALSE,"P-3";"P-15",#N/A,FALSE,"P-3";"P-16",#N/A,FALSE,"P-3";"P-17",#N/A,FALSE,"P-3";"P-18",#N/A,FALSE,"P-3";"P-19",#N/A,FALSE,"P-3";"P-20",#N/A,FALSE,"P-3";"P-21",#N/A,FALSE,"P-3";"P-22",#N/A,FALSE,"P-3";"P-23",#N/A,FALSE,"P-3";"P-24",#N/A,FALSE,"P-3";"P-25",#N/A,FALSE,"P-3";"P-26",#N/A,FALSE,"P-3";"P-27",#N/A,FALSE,"P-3";"P-28",#N/A,FALSE,"P-3";"P-30",#N/A,FALSE,"P-3";"P-31",#N/A,FALSE,"P-3";"P-32",#N/A,FALSE,"P-3";"P-33",#N/A,FALSE,"P-3";"P-35",#N/A,FALSE,"P-3";"P-36",#N/A,FALSE,"P-3";"P-37",#N/A,FALSE,"P-3";"P-38",#N/A,FALSE,"P-3";"P-39",#N/A,FALSE,"P-3";"P-40",#N/A,FALSE,"P-3";"P-41",#N/A,FALSE,"P-3";"p-42",#N/A,FALSE,"P-3";"p-43",#N/A,FALSE,"P-3";"p-44",#N/A,FALSE,"P-3";"P-45",#N/A,FALSE,"P-3";"P-46",#N/A,FALSE,"P-3";"P-47",#N/A,FALSE,"P-3";"P-48",#N/A,FALSE,"P-3";"P-49",#N/A,FALSE,"P-3";"P-50",#N/A,FALSE,"P-3";"P-51",#N/A,FALSE,"P-3";"P-52",#N/A,FALSE,"P-3";"P-53",#N/A,FALSE,"P-3";"P-54",#N/A,FALSE,"P-3";"P-55",#N/A,FALSE,"P-3";"P-56",#N/A,FALSE,"P-3";"P-57",#N/A,FALSE,"P-3";"P-58",#N/A,FALSE,"P-3";"P-59",#N/A,FALSE,"P-3";"P-61",#N/A,FALSE,"P-3";"P-62",#N/A,FALSE,"P-3";"P-63",#N/A,FALSE,"P-3";"P-64",#N/A,FALSE,"P-3";"P-65",#N/A,FALSE,"P-3";"P-66",#N/A,FALSE,"P-3";"P-67",#N/A,FALSE,"P-3";"P-69",#N/A,FALSE,"P-3";"P-70",#N/A,FALSE,"P-3";"P-71",#N/A,FALSE,"P-3";"P-72",#N/A,FALSE,"P-3";"P-73",#N/A,FALSE,"P-3";"P-74",#N/A,FALSE,"P-3";"P-75",#N/A,FALSE,"P-3";"P-76",#N/A,FALSE,"P-3";"P-77",#N/A,FALSE,"P-3";"P-79",#N/A,FALSE,"P-3"}</definedName>
  </definedNames>
  <calcPr calcId="162913" iterate="1" iterateCount="1000" calcOnSave="0"/>
  <fileRecoveryPr autoRecover="0"/>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B14" i="103" l="1"/>
  <c r="B13" i="103"/>
  <c r="B12" i="103"/>
  <c r="B11" i="103"/>
  <c r="B10" i="103"/>
  <c r="B9" i="103"/>
  <c r="B8" i="103"/>
  <c r="B7" i="103"/>
  <c r="B6" i="103"/>
  <c r="B5" i="103"/>
  <c r="B4" i="103"/>
  <c r="C58" i="101" l="1"/>
  <c r="B58" i="101"/>
  <c r="C57" i="101"/>
  <c r="B57" i="101"/>
  <c r="C56" i="101"/>
  <c r="B56" i="101"/>
  <c r="C55" i="101"/>
  <c r="B55" i="101"/>
  <c r="C54" i="101"/>
  <c r="B54" i="101"/>
  <c r="C53" i="101"/>
  <c r="B53" i="101"/>
  <c r="C52" i="101"/>
  <c r="B52" i="101"/>
  <c r="C51" i="101"/>
  <c r="B51" i="101"/>
  <c r="C50" i="101"/>
  <c r="B50" i="101"/>
  <c r="C49" i="101"/>
  <c r="B49" i="101"/>
  <c r="C48" i="101"/>
  <c r="B48" i="101"/>
  <c r="C47" i="101"/>
  <c r="B47" i="101"/>
  <c r="C46" i="101"/>
  <c r="B46" i="101"/>
  <c r="C45" i="101"/>
  <c r="B45" i="101"/>
  <c r="C44" i="101"/>
  <c r="B44" i="101"/>
  <c r="C43" i="101"/>
  <c r="B43" i="101"/>
  <c r="C42" i="101"/>
  <c r="B42" i="101"/>
  <c r="C41" i="101"/>
  <c r="B41" i="101"/>
  <c r="C40" i="101"/>
  <c r="B40" i="101"/>
  <c r="C39" i="101"/>
  <c r="B39" i="101"/>
  <c r="C38" i="101"/>
  <c r="B38" i="101"/>
  <c r="C37" i="101"/>
  <c r="B37" i="101"/>
  <c r="C36" i="101"/>
  <c r="B36" i="101"/>
  <c r="C35" i="101"/>
  <c r="B35" i="101"/>
  <c r="C34" i="101"/>
  <c r="B34" i="101"/>
  <c r="C33" i="101"/>
  <c r="B33" i="101"/>
  <c r="C32" i="101"/>
  <c r="B32" i="101"/>
  <c r="C31" i="101"/>
  <c r="B31" i="101"/>
  <c r="C30" i="101"/>
  <c r="B30" i="101"/>
  <c r="C29" i="101"/>
  <c r="B29" i="101"/>
  <c r="C28" i="101"/>
  <c r="B28" i="101"/>
  <c r="C27" i="101"/>
  <c r="B27" i="101"/>
  <c r="C26" i="101"/>
  <c r="B26" i="101"/>
  <c r="C25" i="101"/>
  <c r="B25" i="101"/>
  <c r="C24" i="101"/>
  <c r="B24" i="101"/>
  <c r="C23" i="101"/>
  <c r="B23" i="101"/>
  <c r="C22" i="101"/>
  <c r="B22" i="101"/>
  <c r="C21" i="101"/>
  <c r="B21" i="101"/>
  <c r="C20" i="101"/>
  <c r="B20" i="101"/>
  <c r="C19" i="101"/>
  <c r="B19" i="101"/>
  <c r="C18" i="101"/>
  <c r="B18" i="101"/>
  <c r="C17" i="101"/>
  <c r="B17" i="101"/>
  <c r="C16" i="101"/>
  <c r="B16" i="101"/>
  <c r="C15" i="101"/>
  <c r="B15" i="101"/>
  <c r="C14" i="101"/>
  <c r="B14" i="101"/>
  <c r="C13" i="101"/>
  <c r="B13" i="101"/>
  <c r="C12" i="101"/>
  <c r="B12" i="101"/>
  <c r="C11" i="101"/>
  <c r="B11" i="101"/>
  <c r="C10" i="101"/>
  <c r="B10" i="101"/>
  <c r="C9" i="101"/>
  <c r="B9" i="101"/>
  <c r="C8" i="101"/>
  <c r="B8" i="101"/>
  <c r="C7" i="101"/>
  <c r="B7" i="101"/>
  <c r="C6" i="101"/>
  <c r="B6" i="101"/>
  <c r="C5" i="101"/>
  <c r="B5" i="101"/>
  <c r="C4" i="101"/>
  <c r="B4" i="101"/>
  <c r="C58" i="100"/>
  <c r="B58" i="100"/>
  <c r="C57" i="100"/>
  <c r="B57" i="100"/>
  <c r="C56" i="100"/>
  <c r="B56" i="100"/>
  <c r="C55" i="100"/>
  <c r="B55" i="100"/>
  <c r="C54" i="100"/>
  <c r="B54" i="100"/>
  <c r="C53" i="100"/>
  <c r="B53" i="100"/>
  <c r="C52" i="100"/>
  <c r="B52" i="100"/>
  <c r="C51" i="100"/>
  <c r="B51" i="100"/>
  <c r="C50" i="100"/>
  <c r="B50" i="100"/>
  <c r="C49" i="100"/>
  <c r="B49" i="100"/>
  <c r="C48" i="100"/>
  <c r="B48" i="100"/>
  <c r="C47" i="100"/>
  <c r="B47" i="100"/>
  <c r="C46" i="100"/>
  <c r="B46" i="100"/>
  <c r="C45" i="100"/>
  <c r="B45" i="100"/>
  <c r="C44" i="100"/>
  <c r="B44" i="100"/>
  <c r="C43" i="100"/>
  <c r="B43" i="100"/>
  <c r="C42" i="100"/>
  <c r="B42" i="100"/>
  <c r="C41" i="100"/>
  <c r="B41" i="100"/>
  <c r="C40" i="100"/>
  <c r="B40" i="100"/>
  <c r="C39" i="100"/>
  <c r="B39" i="100"/>
  <c r="C38" i="100"/>
  <c r="B38" i="100"/>
  <c r="C37" i="100"/>
  <c r="B37" i="100"/>
  <c r="C36" i="100"/>
  <c r="B36" i="100"/>
  <c r="C35" i="100"/>
  <c r="B35" i="100"/>
  <c r="C34" i="100"/>
  <c r="B34" i="100"/>
  <c r="C33" i="100"/>
  <c r="B33" i="100"/>
  <c r="C32" i="100"/>
  <c r="B32" i="100"/>
  <c r="C31" i="100"/>
  <c r="B31" i="100"/>
  <c r="C30" i="100"/>
  <c r="B30" i="100"/>
  <c r="C29" i="100"/>
  <c r="B29" i="100"/>
  <c r="C28" i="100"/>
  <c r="B28" i="100"/>
  <c r="C27" i="100"/>
  <c r="B27" i="100"/>
  <c r="C26" i="100"/>
  <c r="B26" i="100"/>
  <c r="C25" i="100"/>
  <c r="B25" i="100"/>
  <c r="C24" i="100"/>
  <c r="B24" i="100"/>
  <c r="C23" i="100"/>
  <c r="B23" i="100"/>
  <c r="C22" i="100"/>
  <c r="B22" i="100"/>
  <c r="C21" i="100"/>
  <c r="B21" i="100"/>
  <c r="C20" i="100"/>
  <c r="B20" i="100"/>
  <c r="C19" i="100"/>
  <c r="B19" i="100"/>
  <c r="C18" i="100"/>
  <c r="B18" i="100"/>
  <c r="C17" i="100"/>
  <c r="B17" i="100"/>
  <c r="C16" i="100"/>
  <c r="B16" i="100"/>
  <c r="C15" i="100"/>
  <c r="B15" i="100"/>
  <c r="C14" i="100"/>
  <c r="B14" i="100"/>
  <c r="C13" i="100"/>
  <c r="B13" i="100"/>
  <c r="C12" i="100"/>
  <c r="B12" i="100"/>
  <c r="C11" i="100"/>
  <c r="B11" i="100"/>
  <c r="C10" i="100"/>
  <c r="B10" i="100"/>
  <c r="C9" i="100"/>
  <c r="B9" i="100"/>
  <c r="C8" i="100"/>
  <c r="B8" i="100"/>
  <c r="C7" i="100"/>
  <c r="B7" i="100"/>
  <c r="C6" i="100"/>
  <c r="B6" i="100"/>
  <c r="C5" i="100"/>
  <c r="B5" i="100"/>
  <c r="C4" i="100"/>
  <c r="B4" i="100"/>
  <c r="C57" i="99"/>
  <c r="C56" i="99"/>
  <c r="C55" i="99"/>
  <c r="C54" i="99"/>
  <c r="C53" i="99"/>
  <c r="C52" i="99"/>
  <c r="C51" i="99"/>
  <c r="C50" i="99"/>
  <c r="C49" i="99"/>
  <c r="C48" i="99"/>
  <c r="C47" i="99"/>
  <c r="C46" i="99"/>
  <c r="C45" i="99"/>
  <c r="C44" i="99"/>
  <c r="C43" i="99"/>
  <c r="C42" i="99"/>
  <c r="C41" i="99"/>
  <c r="C40" i="99"/>
  <c r="C39" i="99"/>
  <c r="C38" i="99"/>
  <c r="C37" i="99"/>
  <c r="C36" i="99"/>
  <c r="C35" i="99"/>
  <c r="C34" i="99"/>
  <c r="C33" i="99"/>
  <c r="C32" i="99"/>
  <c r="C31" i="99"/>
  <c r="C30" i="99"/>
  <c r="C29" i="99"/>
  <c r="C28" i="99"/>
  <c r="C27" i="99"/>
  <c r="C26" i="99"/>
  <c r="C25" i="99"/>
  <c r="C24" i="99"/>
  <c r="C23" i="99"/>
  <c r="C22" i="99"/>
  <c r="C21" i="99"/>
  <c r="C20" i="99"/>
  <c r="C19" i="99"/>
  <c r="C18" i="99"/>
  <c r="C17" i="99"/>
  <c r="C16" i="99"/>
  <c r="C15" i="99"/>
  <c r="C14" i="99"/>
  <c r="C13" i="99"/>
  <c r="C12" i="99"/>
  <c r="C11" i="99"/>
  <c r="C10" i="99"/>
  <c r="C9" i="99"/>
  <c r="C8" i="99"/>
  <c r="C7" i="99"/>
  <c r="C6" i="99"/>
  <c r="C5" i="99"/>
  <c r="C4" i="99"/>
  <c r="B5" i="99"/>
  <c r="B6" i="99"/>
  <c r="B7" i="99"/>
  <c r="B8" i="99"/>
  <c r="B9" i="99"/>
  <c r="B10" i="99"/>
  <c r="B11" i="99"/>
  <c r="B12" i="99"/>
  <c r="B13" i="99"/>
  <c r="B14" i="99"/>
  <c r="B15" i="99"/>
  <c r="B16" i="99"/>
  <c r="B17" i="99"/>
  <c r="B18" i="99"/>
  <c r="B19" i="99"/>
  <c r="B20" i="99"/>
  <c r="B21" i="99"/>
  <c r="B22" i="99"/>
  <c r="B23" i="99"/>
  <c r="B24" i="99"/>
  <c r="B25" i="99"/>
  <c r="B26" i="99"/>
  <c r="B27" i="99"/>
  <c r="B28" i="99"/>
  <c r="B29" i="99"/>
  <c r="B30" i="99"/>
  <c r="B31" i="99"/>
  <c r="B32" i="99"/>
  <c r="B33" i="99"/>
  <c r="B34" i="99"/>
  <c r="B35" i="99"/>
  <c r="B36" i="99"/>
  <c r="B37" i="99"/>
  <c r="B38" i="99"/>
  <c r="B39" i="99"/>
  <c r="B40" i="99"/>
  <c r="B41" i="99"/>
  <c r="B42" i="99"/>
  <c r="B43" i="99"/>
  <c r="B44" i="99"/>
  <c r="B45" i="99"/>
  <c r="B46" i="99"/>
  <c r="B47" i="99"/>
  <c r="B48" i="99"/>
  <c r="B49" i="99"/>
  <c r="B50" i="99"/>
  <c r="B51" i="99"/>
  <c r="B52" i="99"/>
  <c r="B53" i="99"/>
  <c r="B54" i="99"/>
  <c r="B55" i="99"/>
  <c r="B56" i="99"/>
  <c r="B57" i="99"/>
  <c r="B4" i="99"/>
  <c r="C6" i="97" l="1"/>
  <c r="C5" i="97"/>
  <c r="C4" i="97"/>
  <c r="B6" i="97"/>
  <c r="B5" i="97"/>
  <c r="B4" i="97"/>
  <c r="E5" i="96"/>
  <c r="D5" i="96"/>
  <c r="C5" i="96"/>
  <c r="C5" i="95"/>
  <c r="C6" i="95"/>
  <c r="C7" i="95"/>
  <c r="C8" i="95"/>
  <c r="C9" i="95"/>
  <c r="C10" i="95"/>
  <c r="C11" i="95"/>
  <c r="C12" i="95"/>
  <c r="C13" i="95"/>
  <c r="C14" i="95"/>
  <c r="C15" i="95"/>
  <c r="C16" i="95"/>
  <c r="C17" i="95"/>
  <c r="C18" i="95"/>
  <c r="C19" i="95"/>
  <c r="C20" i="95"/>
  <c r="C21" i="95"/>
  <c r="C22" i="95"/>
  <c r="C23" i="95"/>
  <c r="C24" i="95"/>
  <c r="C25" i="95"/>
  <c r="C26" i="95"/>
  <c r="C27" i="95"/>
  <c r="C28" i="95"/>
  <c r="C29" i="95"/>
  <c r="C30" i="95"/>
  <c r="C31" i="95"/>
  <c r="C32" i="95"/>
  <c r="C33" i="95"/>
  <c r="C34" i="95"/>
  <c r="C35" i="95"/>
  <c r="C36" i="95"/>
  <c r="C37" i="95"/>
  <c r="C38" i="95"/>
  <c r="C39" i="95"/>
  <c r="C40" i="95"/>
  <c r="C41" i="95"/>
  <c r="C42" i="95"/>
  <c r="C43" i="95"/>
  <c r="C44" i="95"/>
  <c r="C45" i="95"/>
  <c r="C46" i="95"/>
  <c r="C47" i="95"/>
  <c r="C48" i="95"/>
  <c r="C49" i="95"/>
  <c r="C50" i="95"/>
  <c r="C51" i="95"/>
  <c r="C52" i="95"/>
  <c r="C53" i="95"/>
  <c r="C54" i="95"/>
  <c r="C55" i="95"/>
  <c r="C56" i="95"/>
  <c r="C57" i="95"/>
  <c r="C4" i="95"/>
  <c r="C5" i="94"/>
  <c r="D5" i="94"/>
  <c r="E5" i="94"/>
  <c r="C6" i="94"/>
  <c r="D6" i="94"/>
  <c r="E6" i="94"/>
  <c r="C7" i="94"/>
  <c r="D7" i="94"/>
  <c r="E7" i="94"/>
  <c r="C8" i="94"/>
  <c r="D8" i="94"/>
  <c r="E8" i="94"/>
  <c r="C9" i="94"/>
  <c r="D9" i="94"/>
  <c r="E9" i="94"/>
  <c r="C10" i="94"/>
  <c r="D10" i="94"/>
  <c r="E10" i="94"/>
  <c r="C11" i="94"/>
  <c r="D11" i="94"/>
  <c r="E11" i="94"/>
  <c r="C12" i="94"/>
  <c r="D12" i="94"/>
  <c r="E12" i="94"/>
  <c r="C13" i="94"/>
  <c r="D13" i="94"/>
  <c r="E13" i="94"/>
  <c r="C14" i="94"/>
  <c r="D14" i="94"/>
  <c r="E14" i="94"/>
  <c r="C15" i="94"/>
  <c r="D15" i="94"/>
  <c r="E15" i="94"/>
  <c r="C16" i="94"/>
  <c r="D16" i="94"/>
  <c r="E16" i="94"/>
  <c r="C17" i="94"/>
  <c r="D17" i="94"/>
  <c r="E17" i="94"/>
  <c r="C18" i="94"/>
  <c r="D18" i="94"/>
  <c r="E18" i="94"/>
  <c r="C19" i="94"/>
  <c r="D19" i="94"/>
  <c r="E19" i="94"/>
  <c r="C20" i="94"/>
  <c r="D20" i="94"/>
  <c r="E20" i="94"/>
  <c r="C21" i="94"/>
  <c r="D21" i="94"/>
  <c r="E21" i="94"/>
  <c r="C22" i="94"/>
  <c r="D22" i="94"/>
  <c r="E22" i="94"/>
  <c r="C23" i="94"/>
  <c r="D23" i="94"/>
  <c r="E23" i="94"/>
  <c r="C24" i="94"/>
  <c r="D24" i="94"/>
  <c r="E24" i="94"/>
  <c r="C25" i="94"/>
  <c r="D25" i="94"/>
  <c r="E25" i="94"/>
  <c r="C26" i="94"/>
  <c r="D26" i="94"/>
  <c r="E26" i="94"/>
  <c r="C27" i="94"/>
  <c r="D27" i="94"/>
  <c r="E27" i="94"/>
  <c r="C28" i="94"/>
  <c r="D28" i="94"/>
  <c r="E28" i="94"/>
  <c r="C29" i="94"/>
  <c r="D29" i="94"/>
  <c r="E29" i="94"/>
  <c r="C30" i="94"/>
  <c r="D30" i="94"/>
  <c r="E30" i="94"/>
  <c r="C31" i="94"/>
  <c r="D31" i="94"/>
  <c r="E31" i="94"/>
  <c r="C32" i="94"/>
  <c r="D32" i="94"/>
  <c r="E32" i="94"/>
  <c r="C33" i="94"/>
  <c r="D33" i="94"/>
  <c r="E33" i="94"/>
  <c r="C34" i="94"/>
  <c r="D34" i="94"/>
  <c r="E34" i="94"/>
  <c r="C35" i="94"/>
  <c r="D35" i="94"/>
  <c r="E35" i="94"/>
  <c r="C36" i="94"/>
  <c r="D36" i="94"/>
  <c r="E36" i="94"/>
  <c r="C37" i="94"/>
  <c r="D37" i="94"/>
  <c r="E37" i="94"/>
  <c r="C38" i="94"/>
  <c r="D38" i="94"/>
  <c r="E38" i="94"/>
  <c r="C39" i="94"/>
  <c r="D39" i="94"/>
  <c r="E39" i="94"/>
  <c r="C40" i="94"/>
  <c r="D40" i="94"/>
  <c r="E40" i="94"/>
  <c r="C41" i="94"/>
  <c r="D41" i="94"/>
  <c r="E41" i="94"/>
  <c r="C42" i="94"/>
  <c r="D42" i="94"/>
  <c r="E42" i="94"/>
  <c r="C43" i="94"/>
  <c r="D43" i="94"/>
  <c r="E43" i="94"/>
  <c r="C44" i="94"/>
  <c r="D44" i="94"/>
  <c r="E44" i="94"/>
  <c r="C45" i="94"/>
  <c r="D45" i="94"/>
  <c r="E45" i="94"/>
  <c r="C46" i="94"/>
  <c r="D46" i="94"/>
  <c r="E46" i="94"/>
  <c r="C47" i="94"/>
  <c r="D47" i="94"/>
  <c r="E47" i="94"/>
  <c r="C48" i="94"/>
  <c r="D48" i="94"/>
  <c r="E48" i="94"/>
  <c r="C49" i="94"/>
  <c r="D49" i="94"/>
  <c r="E49" i="94"/>
  <c r="C50" i="94"/>
  <c r="D50" i="94"/>
  <c r="E50" i="94"/>
  <c r="C51" i="94"/>
  <c r="D51" i="94"/>
  <c r="E51" i="94"/>
  <c r="C52" i="94"/>
  <c r="D52" i="94"/>
  <c r="E52" i="94"/>
  <c r="C53" i="94"/>
  <c r="D53" i="94"/>
  <c r="E53" i="94"/>
  <c r="C54" i="94"/>
  <c r="D54" i="94"/>
  <c r="E54" i="94"/>
  <c r="C55" i="94"/>
  <c r="D55" i="94"/>
  <c r="E55" i="94"/>
  <c r="C56" i="94"/>
  <c r="D56" i="94"/>
  <c r="E56" i="94"/>
  <c r="C57" i="94"/>
  <c r="D57" i="94"/>
  <c r="E57" i="94"/>
  <c r="E4" i="94"/>
  <c r="D4" i="94"/>
  <c r="C4" i="94"/>
  <c r="C5" i="93"/>
  <c r="C39" i="87"/>
  <c r="C26" i="87"/>
  <c r="C21" i="87"/>
  <c r="C18" i="87"/>
  <c r="B37" i="87"/>
  <c r="B10" i="86"/>
  <c r="B527" i="85"/>
  <c r="B682" i="85"/>
  <c r="B683" i="85"/>
  <c r="B684" i="85"/>
  <c r="B685" i="85"/>
  <c r="B686" i="85"/>
  <c r="B687" i="85"/>
  <c r="B22" i="84"/>
  <c r="B54" i="84"/>
  <c r="E5" i="83"/>
  <c r="E6" i="83"/>
  <c r="B6" i="94" s="1"/>
  <c r="H6" i="83"/>
  <c r="D6" i="95" s="1"/>
  <c r="E7" i="83"/>
  <c r="E8" i="83"/>
  <c r="B8" i="94" s="1"/>
  <c r="H8" i="83"/>
  <c r="D8" i="95" s="1"/>
  <c r="E9" i="83"/>
  <c r="E10" i="83"/>
  <c r="B10" i="94" s="1"/>
  <c r="H10" i="83"/>
  <c r="E11" i="83"/>
  <c r="E12" i="83"/>
  <c r="B12" i="94" s="1"/>
  <c r="H12" i="83"/>
  <c r="D12" i="95" s="1"/>
  <c r="E13" i="83"/>
  <c r="E14" i="83"/>
  <c r="B14" i="94" s="1"/>
  <c r="H14" i="83"/>
  <c r="E15" i="83"/>
  <c r="E16" i="83"/>
  <c r="E17" i="83"/>
  <c r="B17" i="94" s="1"/>
  <c r="H17" i="83"/>
  <c r="D17" i="95" s="1"/>
  <c r="E18" i="83"/>
  <c r="E19" i="83"/>
  <c r="B19" i="94" s="1"/>
  <c r="H19" i="83"/>
  <c r="D19" i="95" s="1"/>
  <c r="E20" i="83"/>
  <c r="E21" i="83"/>
  <c r="B21" i="94" s="1"/>
  <c r="H21" i="83"/>
  <c r="D21" i="95" s="1"/>
  <c r="E22" i="83"/>
  <c r="E23" i="83"/>
  <c r="B23" i="94" s="1"/>
  <c r="H23" i="83"/>
  <c r="D23" i="95" s="1"/>
  <c r="E24" i="83"/>
  <c r="E25" i="83"/>
  <c r="B25" i="94" s="1"/>
  <c r="H25" i="83"/>
  <c r="D25" i="95" s="1"/>
  <c r="E26" i="83"/>
  <c r="E27" i="83"/>
  <c r="B27" i="94" s="1"/>
  <c r="H27" i="83"/>
  <c r="D27" i="95" s="1"/>
  <c r="I27" i="83"/>
  <c r="B27" i="95" s="1"/>
  <c r="E28" i="83"/>
  <c r="E29" i="83"/>
  <c r="B29" i="94" s="1"/>
  <c r="H29" i="83"/>
  <c r="D29" i="95" s="1"/>
  <c r="E30" i="83"/>
  <c r="E31" i="83"/>
  <c r="B31" i="94" s="1"/>
  <c r="H31" i="83"/>
  <c r="D31" i="95" s="1"/>
  <c r="I31" i="83"/>
  <c r="B31" i="95" s="1"/>
  <c r="E32" i="83"/>
  <c r="B32" i="94" s="1"/>
  <c r="H32" i="83"/>
  <c r="D32" i="95" s="1"/>
  <c r="E33" i="83"/>
  <c r="H33" i="83"/>
  <c r="D33" i="95" s="1"/>
  <c r="E34" i="83"/>
  <c r="B34" i="94" s="1"/>
  <c r="H34" i="83"/>
  <c r="D34" i="95" s="1"/>
  <c r="E35" i="83"/>
  <c r="B35" i="94" s="1"/>
  <c r="H35" i="83"/>
  <c r="D35" i="95" s="1"/>
  <c r="E36" i="83"/>
  <c r="B36" i="94" s="1"/>
  <c r="H36" i="83"/>
  <c r="D36" i="95" s="1"/>
  <c r="I36" i="83"/>
  <c r="B36" i="95" s="1"/>
  <c r="E37" i="83"/>
  <c r="E38" i="83"/>
  <c r="B38" i="94" s="1"/>
  <c r="H38" i="83"/>
  <c r="E39" i="83"/>
  <c r="E40" i="83"/>
  <c r="B40" i="94" s="1"/>
  <c r="H40" i="83"/>
  <c r="E41" i="83"/>
  <c r="B41" i="94" s="1"/>
  <c r="H41" i="83"/>
  <c r="D41" i="95" s="1"/>
  <c r="E42" i="83"/>
  <c r="B42" i="94" s="1"/>
  <c r="H42" i="83"/>
  <c r="E43" i="83"/>
  <c r="B43" i="94" s="1"/>
  <c r="H43" i="83"/>
  <c r="D43" i="95" s="1"/>
  <c r="E44" i="83"/>
  <c r="B44" i="94" s="1"/>
  <c r="H44" i="83"/>
  <c r="E45" i="83"/>
  <c r="B45" i="94" s="1"/>
  <c r="H45" i="83"/>
  <c r="E46" i="83"/>
  <c r="E47" i="83"/>
  <c r="B47" i="94" s="1"/>
  <c r="H47" i="83"/>
  <c r="D47" i="95" s="1"/>
  <c r="I47" i="83"/>
  <c r="B47" i="95" s="1"/>
  <c r="E48" i="83"/>
  <c r="B48" i="94" s="1"/>
  <c r="H48" i="83"/>
  <c r="D48" i="95" s="1"/>
  <c r="E49" i="83"/>
  <c r="B49" i="94" s="1"/>
  <c r="H49" i="83"/>
  <c r="D49" i="95" s="1"/>
  <c r="E50" i="83"/>
  <c r="B50" i="94" s="1"/>
  <c r="H50" i="83"/>
  <c r="D50" i="95" s="1"/>
  <c r="E51" i="83"/>
  <c r="B51" i="94" s="1"/>
  <c r="H51" i="83"/>
  <c r="E52" i="83"/>
  <c r="B52" i="94" s="1"/>
  <c r="H52" i="83"/>
  <c r="D52" i="95" s="1"/>
  <c r="I52" i="83"/>
  <c r="B52" i="95" s="1"/>
  <c r="E53" i="83"/>
  <c r="E54" i="83"/>
  <c r="B54" i="94" s="1"/>
  <c r="H54" i="83"/>
  <c r="E55" i="83"/>
  <c r="E56" i="83"/>
  <c r="B56" i="94" s="1"/>
  <c r="H56" i="83"/>
  <c r="E57" i="83"/>
  <c r="B57" i="94" s="1"/>
  <c r="H57" i="83"/>
  <c r="E4" i="83"/>
  <c r="I50" i="83"/>
  <c r="B50" i="95" s="1"/>
  <c r="I49" i="83"/>
  <c r="B49" i="95" s="1"/>
  <c r="I48" i="83"/>
  <c r="B48" i="95" s="1"/>
  <c r="I43" i="83"/>
  <c r="B43" i="95" s="1"/>
  <c r="I41" i="83"/>
  <c r="B41" i="95" s="1"/>
  <c r="I35" i="83"/>
  <c r="B35" i="95" s="1"/>
  <c r="I32" i="83"/>
  <c r="B32" i="95" s="1"/>
  <c r="I29" i="83"/>
  <c r="B29" i="95" s="1"/>
  <c r="I25" i="83"/>
  <c r="B25" i="95" s="1"/>
  <c r="I23" i="83"/>
  <c r="B23" i="95" s="1"/>
  <c r="I21" i="83"/>
  <c r="B21" i="95" s="1"/>
  <c r="I19" i="83"/>
  <c r="B19" i="95" s="1"/>
  <c r="I17" i="83"/>
  <c r="B17" i="95" s="1"/>
  <c r="R9" i="83"/>
  <c r="Q9" i="83"/>
  <c r="P9" i="83"/>
  <c r="O9" i="83"/>
  <c r="R8" i="83"/>
  <c r="R7" i="83"/>
  <c r="Q7" i="83"/>
  <c r="P7" i="83"/>
  <c r="O7" i="83"/>
  <c r="R6" i="83"/>
  <c r="Q6" i="83"/>
  <c r="P6" i="83"/>
  <c r="O6" i="83"/>
  <c r="R5" i="83"/>
  <c r="Q5" i="83"/>
  <c r="P5" i="83"/>
  <c r="O5" i="83"/>
  <c r="I12" i="83"/>
  <c r="B12" i="95" s="1"/>
  <c r="I8" i="83"/>
  <c r="B8" i="95" s="1"/>
  <c r="I33" i="83"/>
  <c r="O8" i="83"/>
  <c r="I34" i="83"/>
  <c r="B34" i="95" s="1"/>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25" i="3"/>
  <c r="G6" i="78"/>
  <c r="G7" i="78"/>
  <c r="F7" i="53"/>
  <c r="G8" i="78"/>
  <c r="G9" i="78"/>
  <c r="F9" i="53"/>
  <c r="G10" i="78"/>
  <c r="G11" i="78"/>
  <c r="F11" i="53"/>
  <c r="G12" i="78"/>
  <c r="G13" i="78"/>
  <c r="F13" i="53"/>
  <c r="G14" i="78"/>
  <c r="G15" i="78"/>
  <c r="F15" i="53"/>
  <c r="G16" i="78"/>
  <c r="G17" i="78"/>
  <c r="F17" i="53"/>
  <c r="G18" i="78"/>
  <c r="G19" i="78"/>
  <c r="F19" i="53"/>
  <c r="G20" i="78"/>
  <c r="G21" i="78"/>
  <c r="F21" i="53"/>
  <c r="G22" i="78"/>
  <c r="G23" i="78"/>
  <c r="F23" i="53"/>
  <c r="G24" i="78"/>
  <c r="G25" i="78"/>
  <c r="F25" i="53"/>
  <c r="G26" i="78"/>
  <c r="G27" i="78"/>
  <c r="F27" i="53"/>
  <c r="G28" i="78"/>
  <c r="G29" i="78"/>
  <c r="F29" i="53"/>
  <c r="G30" i="78"/>
  <c r="G31" i="78"/>
  <c r="F31" i="53"/>
  <c r="G32" i="78"/>
  <c r="G33" i="78"/>
  <c r="F33" i="53"/>
  <c r="G34" i="78"/>
  <c r="G35" i="78"/>
  <c r="F35" i="53"/>
  <c r="G36" i="78"/>
  <c r="G37" i="78"/>
  <c r="F37" i="53"/>
  <c r="G38" i="78"/>
  <c r="G39" i="78"/>
  <c r="F39" i="53"/>
  <c r="G40" i="78"/>
  <c r="G41" i="78"/>
  <c r="F41" i="53"/>
  <c r="G42" i="78"/>
  <c r="G43" i="78"/>
  <c r="F43" i="53"/>
  <c r="G44" i="78"/>
  <c r="G45" i="78"/>
  <c r="F45" i="53"/>
  <c r="G46" i="78"/>
  <c r="E46" i="79" s="1"/>
  <c r="G47" i="78"/>
  <c r="F47" i="53"/>
  <c r="G48" i="78"/>
  <c r="G49" i="78"/>
  <c r="F49" i="53"/>
  <c r="G50" i="78"/>
  <c r="G51" i="78"/>
  <c r="F51" i="53"/>
  <c r="G52" i="78"/>
  <c r="G53" i="78"/>
  <c r="F53" i="53"/>
  <c r="G54" i="78"/>
  <c r="G55" i="78"/>
  <c r="F55" i="53"/>
  <c r="G56" i="78"/>
  <c r="G57" i="78"/>
  <c r="F57" i="53"/>
  <c r="G58" i="78"/>
  <c r="G59" i="78"/>
  <c r="F59" i="53"/>
  <c r="G60" i="78"/>
  <c r="G5" i="78"/>
  <c r="F5" i="53"/>
  <c r="G59" i="79"/>
  <c r="G60" i="79"/>
  <c r="G58" i="79"/>
  <c r="E7" i="79"/>
  <c r="E8" i="79"/>
  <c r="E9" i="79"/>
  <c r="E11" i="79"/>
  <c r="E13" i="79"/>
  <c r="E15" i="79"/>
  <c r="E17" i="79"/>
  <c r="E19" i="79"/>
  <c r="E21" i="79"/>
  <c r="E23" i="79"/>
  <c r="E24" i="79"/>
  <c r="E25" i="79"/>
  <c r="E27" i="79"/>
  <c r="E29" i="79"/>
  <c r="E31" i="79"/>
  <c r="E33" i="79"/>
  <c r="E35" i="79"/>
  <c r="E37" i="79"/>
  <c r="E39" i="79"/>
  <c r="E41" i="79"/>
  <c r="E43" i="79"/>
  <c r="E45" i="79"/>
  <c r="E47" i="79"/>
  <c r="E49" i="79"/>
  <c r="E51" i="79"/>
  <c r="E53" i="79"/>
  <c r="E55" i="79"/>
  <c r="E57" i="79"/>
  <c r="E59" i="79"/>
  <c r="E5" i="79"/>
  <c r="G57" i="79"/>
  <c r="G56" i="79"/>
  <c r="G55" i="79"/>
  <c r="G54" i="79"/>
  <c r="G53" i="79"/>
  <c r="G52" i="79"/>
  <c r="G51" i="79"/>
  <c r="G50" i="79"/>
  <c r="G49" i="79"/>
  <c r="G48" i="79"/>
  <c r="G47" i="79"/>
  <c r="G46" i="79"/>
  <c r="G45" i="79"/>
  <c r="G44" i="79"/>
  <c r="G43" i="79"/>
  <c r="G42" i="79"/>
  <c r="G41" i="79"/>
  <c r="G40" i="79"/>
  <c r="G39" i="79"/>
  <c r="G38" i="79"/>
  <c r="G37" i="79"/>
  <c r="G36" i="79"/>
  <c r="G35" i="79"/>
  <c r="G34" i="79"/>
  <c r="G33" i="79"/>
  <c r="G32" i="79"/>
  <c r="G31" i="79"/>
  <c r="G30" i="79"/>
  <c r="G29" i="79"/>
  <c r="G28" i="79"/>
  <c r="G27" i="79"/>
  <c r="G26" i="79"/>
  <c r="G25" i="79"/>
  <c r="G24" i="79"/>
  <c r="G23" i="79"/>
  <c r="G22" i="79"/>
  <c r="G21" i="79"/>
  <c r="G20" i="79"/>
  <c r="G19" i="79"/>
  <c r="G18" i="79"/>
  <c r="G17" i="79"/>
  <c r="G16" i="79"/>
  <c r="G15" i="79"/>
  <c r="G14" i="79"/>
  <c r="G13" i="79"/>
  <c r="G12" i="79"/>
  <c r="G11" i="79"/>
  <c r="G10" i="79"/>
  <c r="G9" i="79"/>
  <c r="G8" i="79"/>
  <c r="G7" i="79"/>
  <c r="G6" i="79"/>
  <c r="D60" i="78"/>
  <c r="D59" i="78"/>
  <c r="D58" i="78"/>
  <c r="D57" i="78"/>
  <c r="D56" i="78"/>
  <c r="D55" i="78"/>
  <c r="D54" i="78"/>
  <c r="D53" i="78"/>
  <c r="D52" i="78"/>
  <c r="D51" i="78"/>
  <c r="D50" i="78"/>
  <c r="D49" i="78"/>
  <c r="D48" i="78"/>
  <c r="D47" i="78"/>
  <c r="D46" i="78"/>
  <c r="D45" i="78"/>
  <c r="D44" i="78"/>
  <c r="D43" i="78"/>
  <c r="D42" i="78"/>
  <c r="D41" i="78"/>
  <c r="D40" i="78"/>
  <c r="D39" i="78"/>
  <c r="D38" i="78"/>
  <c r="D37" i="78"/>
  <c r="D36" i="78"/>
  <c r="D35" i="78"/>
  <c r="D34" i="78"/>
  <c r="D33" i="78"/>
  <c r="D32" i="78"/>
  <c r="D31" i="78"/>
  <c r="D30" i="78"/>
  <c r="D29" i="78"/>
  <c r="D28" i="78"/>
  <c r="D27" i="78"/>
  <c r="D26" i="78"/>
  <c r="D25" i="78"/>
  <c r="D24" i="78"/>
  <c r="D23" i="78"/>
  <c r="D22" i="78"/>
  <c r="D21" i="78"/>
  <c r="D20" i="78"/>
  <c r="D19" i="78"/>
  <c r="D18" i="78"/>
  <c r="D17" i="78"/>
  <c r="D16" i="78"/>
  <c r="D15" i="78"/>
  <c r="D14" i="78"/>
  <c r="D13" i="78"/>
  <c r="D12" i="78"/>
  <c r="D11" i="78"/>
  <c r="D10" i="78"/>
  <c r="D9" i="78"/>
  <c r="D8" i="78"/>
  <c r="D7" i="78"/>
  <c r="D6" i="78"/>
  <c r="D5" i="78"/>
  <c r="D4" i="78"/>
  <c r="H17" i="78"/>
  <c r="I17" i="78" s="1"/>
  <c r="B16" i="91" s="1"/>
  <c r="H21" i="78"/>
  <c r="I21" i="78" s="1"/>
  <c r="B20" i="91" s="1"/>
  <c r="H33" i="78"/>
  <c r="I33" i="78" s="1"/>
  <c r="B32" i="91" s="1"/>
  <c r="H9" i="78"/>
  <c r="I9" i="78" s="1"/>
  <c r="B8" i="91" s="1"/>
  <c r="H27" i="78"/>
  <c r="I27" i="78" s="1"/>
  <c r="B26" i="91" s="1"/>
  <c r="H20" i="78"/>
  <c r="I20" i="78" s="1"/>
  <c r="B19" i="91" s="1"/>
  <c r="H40" i="78"/>
  <c r="I40" i="78" s="1"/>
  <c r="B39" i="91" s="1"/>
  <c r="H44" i="78"/>
  <c r="I44" i="78" s="1"/>
  <c r="B43" i="91" s="1"/>
  <c r="H48" i="78"/>
  <c r="I48" i="78" s="1"/>
  <c r="B47" i="91" s="1"/>
  <c r="E4" i="47"/>
  <c r="E5" i="47"/>
  <c r="E6" i="47"/>
  <c r="E7" i="47"/>
  <c r="E8" i="47"/>
  <c r="E9" i="47"/>
  <c r="E10" i="47"/>
  <c r="E11" i="47"/>
  <c r="E12" i="47"/>
  <c r="E13" i="47"/>
  <c r="E14" i="47"/>
  <c r="E15" i="47"/>
  <c r="E16" i="47"/>
  <c r="E17" i="47"/>
  <c r="E18" i="47"/>
  <c r="E19" i="47"/>
  <c r="E20" i="47"/>
  <c r="E21" i="47"/>
  <c r="E22" i="47"/>
  <c r="E23" i="47"/>
  <c r="E24" i="47"/>
  <c r="E25" i="47"/>
  <c r="E26" i="47"/>
  <c r="E27" i="47"/>
  <c r="E28" i="47"/>
  <c r="E29" i="47"/>
  <c r="E30" i="47"/>
  <c r="E31" i="47"/>
  <c r="E32" i="47"/>
  <c r="E33" i="47"/>
  <c r="E34" i="47"/>
  <c r="E35" i="47"/>
  <c r="E36" i="47"/>
  <c r="E37" i="47"/>
  <c r="E38" i="47"/>
  <c r="E39" i="47"/>
  <c r="E40" i="47"/>
  <c r="E41" i="47"/>
  <c r="E42" i="47"/>
  <c r="E43" i="47"/>
  <c r="E44" i="47"/>
  <c r="E45" i="47"/>
  <c r="E46" i="47"/>
  <c r="E47" i="47"/>
  <c r="E48" i="47"/>
  <c r="E49" i="47"/>
  <c r="E50" i="47"/>
  <c r="E51" i="47"/>
  <c r="E52" i="47"/>
  <c r="E53" i="47"/>
  <c r="E54" i="47"/>
  <c r="E55" i="47"/>
  <c r="E56" i="47"/>
  <c r="E57" i="47"/>
  <c r="E58" i="47"/>
  <c r="E59" i="47"/>
  <c r="E60" i="47"/>
  <c r="E61" i="47"/>
  <c r="K8" i="3"/>
  <c r="K9" i="3"/>
  <c r="K10" i="3"/>
  <c r="K11" i="3"/>
  <c r="K12" i="3"/>
  <c r="K13" i="3"/>
  <c r="K14" i="3"/>
  <c r="K15" i="3"/>
  <c r="K16" i="3"/>
  <c r="K17" i="3"/>
  <c r="K18" i="3"/>
  <c r="K19" i="3"/>
  <c r="K20" i="3"/>
  <c r="K21" i="3"/>
  <c r="K22" i="3"/>
  <c r="K23"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7" i="3"/>
  <c r="Q8" i="3"/>
  <c r="Q9" i="3"/>
  <c r="Q10" i="3"/>
  <c r="Q11" i="3"/>
  <c r="Q12" i="3"/>
  <c r="Q13" i="3"/>
  <c r="Q14" i="3"/>
  <c r="Q15" i="3"/>
  <c r="Q16" i="3"/>
  <c r="Q17" i="3"/>
  <c r="Q18" i="3"/>
  <c r="Q19" i="3"/>
  <c r="Q20" i="3"/>
  <c r="Q21" i="3"/>
  <c r="Q22" i="3"/>
  <c r="Q23" i="3"/>
  <c r="Q7" i="3"/>
  <c r="L8" i="3"/>
  <c r="O8" i="3" s="1"/>
  <c r="L9" i="3"/>
  <c r="O9" i="3"/>
  <c r="L10" i="3"/>
  <c r="O10" i="3" s="1"/>
  <c r="L11" i="3"/>
  <c r="O11" i="3"/>
  <c r="L12" i="3"/>
  <c r="O12" i="3" s="1"/>
  <c r="L13" i="3"/>
  <c r="O13" i="3"/>
  <c r="B10" i="87" s="1"/>
  <c r="L14" i="3"/>
  <c r="O14" i="3" s="1"/>
  <c r="L15" i="3"/>
  <c r="O15" i="3"/>
  <c r="L16" i="3"/>
  <c r="O16" i="3" s="1"/>
  <c r="L17" i="3"/>
  <c r="O17" i="3"/>
  <c r="L18" i="3"/>
  <c r="O18" i="3" s="1"/>
  <c r="L19" i="3"/>
  <c r="O19" i="3"/>
  <c r="L20" i="3"/>
  <c r="O20" i="3" s="1"/>
  <c r="L21" i="3"/>
  <c r="O21" i="3"/>
  <c r="L22" i="3"/>
  <c r="O22" i="3" s="1"/>
  <c r="L23" i="3"/>
  <c r="O23" i="3"/>
  <c r="L24" i="3"/>
  <c r="O24" i="3" s="1"/>
  <c r="L25" i="3"/>
  <c r="O25" i="3"/>
  <c r="L26" i="3"/>
  <c r="O26" i="3" s="1"/>
  <c r="L27" i="3"/>
  <c r="O27" i="3"/>
  <c r="L28" i="3"/>
  <c r="O28" i="3" s="1"/>
  <c r="L29" i="3"/>
  <c r="O29" i="3"/>
  <c r="L30" i="3"/>
  <c r="O30" i="3" s="1"/>
  <c r="L31" i="3"/>
  <c r="O31" i="3"/>
  <c r="L32" i="3"/>
  <c r="O32" i="3" s="1"/>
  <c r="L33" i="3"/>
  <c r="O33" i="3"/>
  <c r="L34" i="3"/>
  <c r="O34" i="3" s="1"/>
  <c r="L35" i="3"/>
  <c r="O35" i="3"/>
  <c r="L36" i="3"/>
  <c r="O36" i="3" s="1"/>
  <c r="L37" i="3"/>
  <c r="O37" i="3"/>
  <c r="L38" i="3"/>
  <c r="O38" i="3" s="1"/>
  <c r="L39" i="3"/>
  <c r="O39" i="3"/>
  <c r="L40" i="3"/>
  <c r="O40" i="3" s="1"/>
  <c r="B37" i="86" s="1"/>
  <c r="L41" i="3"/>
  <c r="O41" i="3"/>
  <c r="L42" i="3"/>
  <c r="O42" i="3" s="1"/>
  <c r="L43" i="3"/>
  <c r="O43" i="3"/>
  <c r="L44" i="3"/>
  <c r="O44" i="3" s="1"/>
  <c r="L45" i="3"/>
  <c r="O45" i="3"/>
  <c r="L46" i="3"/>
  <c r="O46" i="3" s="1"/>
  <c r="L47" i="3"/>
  <c r="O47" i="3"/>
  <c r="L48" i="3"/>
  <c r="O48" i="3" s="1"/>
  <c r="L49" i="3"/>
  <c r="O49" i="3"/>
  <c r="L50" i="3"/>
  <c r="O50" i="3" s="1"/>
  <c r="L51" i="3"/>
  <c r="O51" i="3"/>
  <c r="L52" i="3"/>
  <c r="O52" i="3" s="1"/>
  <c r="B49" i="87" s="1"/>
  <c r="L53" i="3"/>
  <c r="O53" i="3"/>
  <c r="L54" i="3"/>
  <c r="O54" i="3" s="1"/>
  <c r="L55" i="3"/>
  <c r="O55" i="3"/>
  <c r="L56" i="3"/>
  <c r="O56" i="3" s="1"/>
  <c r="L57" i="3"/>
  <c r="O57" i="3"/>
  <c r="L58" i="3"/>
  <c r="O58" i="3" s="1"/>
  <c r="L59" i="3"/>
  <c r="O59" i="3"/>
  <c r="L60" i="3"/>
  <c r="O60" i="3" s="1"/>
  <c r="L7" i="3"/>
  <c r="O7" i="3"/>
  <c r="R7" i="3"/>
  <c r="C4" i="87" s="1"/>
  <c r="R8" i="3"/>
  <c r="C5" i="87" s="1"/>
  <c r="R9" i="3"/>
  <c r="C6" i="87" s="1"/>
  <c r="R10" i="3"/>
  <c r="C7" i="87" s="1"/>
  <c r="R11" i="3"/>
  <c r="C8" i="87" s="1"/>
  <c r="R12" i="3"/>
  <c r="C9" i="87" s="1"/>
  <c r="R13" i="3"/>
  <c r="C10" i="87" s="1"/>
  <c r="R14" i="3"/>
  <c r="C11" i="87" s="1"/>
  <c r="R15" i="3"/>
  <c r="C12" i="87" s="1"/>
  <c r="R16" i="3"/>
  <c r="C13" i="87" s="1"/>
  <c r="R17" i="3"/>
  <c r="C14" i="87" s="1"/>
  <c r="R18" i="3"/>
  <c r="C15" i="87" s="1"/>
  <c r="R19" i="3"/>
  <c r="C16" i="87" s="1"/>
  <c r="R20" i="3"/>
  <c r="C17" i="87" s="1"/>
  <c r="R21" i="3"/>
  <c r="R22" i="3"/>
  <c r="C19" i="87" s="1"/>
  <c r="R23" i="3"/>
  <c r="C20" i="87" s="1"/>
  <c r="R25" i="3"/>
  <c r="C22" i="87" s="1"/>
  <c r="R26" i="3"/>
  <c r="C23" i="87" s="1"/>
  <c r="R27" i="3"/>
  <c r="C24" i="87" s="1"/>
  <c r="R28" i="3"/>
  <c r="C25" i="87" s="1"/>
  <c r="R29" i="3"/>
  <c r="R30" i="3"/>
  <c r="C27" i="87" s="1"/>
  <c r="R31" i="3"/>
  <c r="C28" i="87" s="1"/>
  <c r="R32" i="3"/>
  <c r="C29" i="87" s="1"/>
  <c r="R33" i="3"/>
  <c r="C30" i="87" s="1"/>
  <c r="R34" i="3"/>
  <c r="C31" i="87" s="1"/>
  <c r="R35" i="3"/>
  <c r="C32" i="87" s="1"/>
  <c r="R36" i="3"/>
  <c r="C33" i="87" s="1"/>
  <c r="R37" i="3"/>
  <c r="C34" i="87" s="1"/>
  <c r="R38" i="3"/>
  <c r="C35" i="87" s="1"/>
  <c r="R39" i="3"/>
  <c r="C36" i="87" s="1"/>
  <c r="R40" i="3"/>
  <c r="C37" i="87" s="1"/>
  <c r="R41" i="3"/>
  <c r="C38" i="87" s="1"/>
  <c r="R42" i="3"/>
  <c r="R43" i="3"/>
  <c r="C40" i="87" s="1"/>
  <c r="R44" i="3"/>
  <c r="C41" i="87" s="1"/>
  <c r="R45" i="3"/>
  <c r="C42" i="87" s="1"/>
  <c r="R46" i="3"/>
  <c r="C43" i="87" s="1"/>
  <c r="R47" i="3"/>
  <c r="C44" i="87" s="1"/>
  <c r="R48" i="3"/>
  <c r="C45" i="87" s="1"/>
  <c r="R49" i="3"/>
  <c r="C46" i="87" s="1"/>
  <c r="R50" i="3"/>
  <c r="C47" i="87" s="1"/>
  <c r="R51" i="3"/>
  <c r="C48" i="87" s="1"/>
  <c r="R52" i="3"/>
  <c r="C49" i="87" s="1"/>
  <c r="R53" i="3"/>
  <c r="C50" i="87" s="1"/>
  <c r="R54" i="3"/>
  <c r="C51" i="87" s="1"/>
  <c r="R55" i="3"/>
  <c r="C52" i="87" s="1"/>
  <c r="R56" i="3"/>
  <c r="C53" i="87" s="1"/>
  <c r="R57" i="3"/>
  <c r="C54" i="87" s="1"/>
  <c r="R58" i="3"/>
  <c r="C55" i="87" s="1"/>
  <c r="R59" i="3"/>
  <c r="C56" i="87" s="1"/>
  <c r="R60" i="3"/>
  <c r="C57" i="87" s="1"/>
  <c r="F61" i="75"/>
  <c r="B60" i="92" s="1"/>
  <c r="F60" i="75"/>
  <c r="B59" i="92" s="1"/>
  <c r="F59" i="75"/>
  <c r="B58" i="92" s="1"/>
  <c r="F58" i="75"/>
  <c r="B57" i="92" s="1"/>
  <c r="F57" i="75"/>
  <c r="B56" i="92" s="1"/>
  <c r="F56" i="75"/>
  <c r="B55" i="92" s="1"/>
  <c r="F55" i="75"/>
  <c r="B54" i="92" s="1"/>
  <c r="F54" i="75"/>
  <c r="B53" i="92" s="1"/>
  <c r="F53" i="75"/>
  <c r="B52" i="92" s="1"/>
  <c r="F52" i="75"/>
  <c r="B51" i="92" s="1"/>
  <c r="F51" i="75"/>
  <c r="B50" i="92" s="1"/>
  <c r="F50" i="75"/>
  <c r="B49" i="92" s="1"/>
  <c r="F49" i="75"/>
  <c r="B48" i="92" s="1"/>
  <c r="F48" i="75"/>
  <c r="B47" i="92" s="1"/>
  <c r="F47" i="75"/>
  <c r="B46" i="92" s="1"/>
  <c r="F46" i="75"/>
  <c r="B45" i="92" s="1"/>
  <c r="F45" i="75"/>
  <c r="B44" i="92" s="1"/>
  <c r="F44" i="75"/>
  <c r="B43" i="92" s="1"/>
  <c r="F43" i="75"/>
  <c r="B42" i="92" s="1"/>
  <c r="F42" i="75"/>
  <c r="B41" i="92" s="1"/>
  <c r="F41" i="75"/>
  <c r="B40" i="92" s="1"/>
  <c r="F40" i="75"/>
  <c r="B39" i="92" s="1"/>
  <c r="F39" i="75"/>
  <c r="B38" i="92" s="1"/>
  <c r="F38" i="75"/>
  <c r="B37" i="92" s="1"/>
  <c r="F37" i="75"/>
  <c r="B36" i="92" s="1"/>
  <c r="F36" i="75"/>
  <c r="B35" i="92" s="1"/>
  <c r="F35" i="75"/>
  <c r="B34" i="92" s="1"/>
  <c r="F34" i="75"/>
  <c r="B33" i="92" s="1"/>
  <c r="F33" i="75"/>
  <c r="B32" i="92" s="1"/>
  <c r="F32" i="75"/>
  <c r="B31" i="92" s="1"/>
  <c r="F31" i="75"/>
  <c r="B30" i="92" s="1"/>
  <c r="F30" i="75"/>
  <c r="B29" i="92" s="1"/>
  <c r="F29" i="75"/>
  <c r="B28" i="92" s="1"/>
  <c r="F28" i="75"/>
  <c r="B27" i="92" s="1"/>
  <c r="F27" i="75"/>
  <c r="B26" i="92" s="1"/>
  <c r="F26" i="75"/>
  <c r="B25" i="92" s="1"/>
  <c r="F25" i="75"/>
  <c r="B24" i="92" s="1"/>
  <c r="F24" i="75"/>
  <c r="B23" i="92" s="1"/>
  <c r="F23" i="75"/>
  <c r="B22" i="92" s="1"/>
  <c r="F22" i="75"/>
  <c r="B21" i="92" s="1"/>
  <c r="F21" i="75"/>
  <c r="B20" i="92" s="1"/>
  <c r="F20" i="75"/>
  <c r="B19" i="92" s="1"/>
  <c r="F19" i="75"/>
  <c r="B18" i="92" s="1"/>
  <c r="F18" i="75"/>
  <c r="B17" i="92" s="1"/>
  <c r="F17" i="75"/>
  <c r="B16" i="92" s="1"/>
  <c r="F16" i="75"/>
  <c r="B15" i="92" s="1"/>
  <c r="F15" i="75"/>
  <c r="B14" i="92" s="1"/>
  <c r="F14" i="75"/>
  <c r="B13" i="92" s="1"/>
  <c r="F13" i="75"/>
  <c r="B12" i="92" s="1"/>
  <c r="F12" i="75"/>
  <c r="B11" i="92" s="1"/>
  <c r="F11" i="75"/>
  <c r="B10" i="92" s="1"/>
  <c r="F10" i="75"/>
  <c r="B9" i="92" s="1"/>
  <c r="F9" i="75"/>
  <c r="B8" i="92" s="1"/>
  <c r="F8" i="75"/>
  <c r="B7" i="92" s="1"/>
  <c r="F7" i="75"/>
  <c r="B6" i="92" s="1"/>
  <c r="F6" i="75"/>
  <c r="B5" i="92" s="1"/>
  <c r="F5" i="75"/>
  <c r="B4" i="92" s="1"/>
  <c r="G53" i="63"/>
  <c r="G54" i="63"/>
  <c r="G55" i="63"/>
  <c r="G56" i="63"/>
  <c r="G57" i="63"/>
  <c r="G58" i="63"/>
  <c r="G59" i="63"/>
  <c r="G60" i="63"/>
  <c r="G61" i="63"/>
  <c r="G62" i="63"/>
  <c r="G63" i="63"/>
  <c r="G64" i="63"/>
  <c r="H64" i="63"/>
  <c r="G65" i="63"/>
  <c r="H65" i="63"/>
  <c r="G66" i="63"/>
  <c r="H66" i="63"/>
  <c r="G67" i="63"/>
  <c r="H67" i="63"/>
  <c r="G68" i="63"/>
  <c r="H68" i="63"/>
  <c r="G69" i="63"/>
  <c r="H69" i="63"/>
  <c r="G70" i="63"/>
  <c r="H70" i="63"/>
  <c r="G71" i="63"/>
  <c r="H71" i="63"/>
  <c r="G72" i="63"/>
  <c r="H72" i="63"/>
  <c r="G73" i="63"/>
  <c r="H73" i="63"/>
  <c r="G74" i="63"/>
  <c r="H74" i="63"/>
  <c r="G75" i="63"/>
  <c r="H75" i="63"/>
  <c r="G76" i="63"/>
  <c r="H76" i="63"/>
  <c r="G77" i="63"/>
  <c r="H77" i="63"/>
  <c r="G78" i="63"/>
  <c r="H78" i="63"/>
  <c r="G79" i="63"/>
  <c r="H79" i="63"/>
  <c r="G80" i="63"/>
  <c r="H80" i="63"/>
  <c r="G81" i="63"/>
  <c r="H81" i="63"/>
  <c r="G82" i="63"/>
  <c r="H82" i="63"/>
  <c r="G83" i="63"/>
  <c r="H83" i="63"/>
  <c r="G84" i="63"/>
  <c r="H84" i="63"/>
  <c r="G85" i="63"/>
  <c r="H85" i="63"/>
  <c r="G86" i="63"/>
  <c r="H86" i="63"/>
  <c r="G87" i="63"/>
  <c r="H87" i="63"/>
  <c r="G88" i="63"/>
  <c r="H88" i="63"/>
  <c r="G89" i="63"/>
  <c r="H89" i="63"/>
  <c r="G90" i="63"/>
  <c r="H90" i="63"/>
  <c r="G91" i="63"/>
  <c r="H91" i="63"/>
  <c r="G92" i="63"/>
  <c r="H92" i="63"/>
  <c r="G93" i="63"/>
  <c r="H93" i="63"/>
  <c r="G94" i="63"/>
  <c r="H94" i="63"/>
  <c r="G95" i="63"/>
  <c r="H95" i="63"/>
  <c r="G96" i="63"/>
  <c r="H96" i="63"/>
  <c r="G97" i="63"/>
  <c r="H97" i="63"/>
  <c r="G98" i="63"/>
  <c r="H98" i="63"/>
  <c r="G99" i="63"/>
  <c r="H99" i="63"/>
  <c r="G100" i="63"/>
  <c r="H100" i="63"/>
  <c r="G101" i="63"/>
  <c r="H101" i="63"/>
  <c r="G102" i="63"/>
  <c r="H102" i="63"/>
  <c r="G103" i="63"/>
  <c r="H103" i="63"/>
  <c r="G104" i="63"/>
  <c r="H104" i="63"/>
  <c r="G105" i="63"/>
  <c r="H105" i="63"/>
  <c r="G106" i="63"/>
  <c r="H106" i="63"/>
  <c r="G107" i="63"/>
  <c r="H107" i="63"/>
  <c r="G108" i="63"/>
  <c r="H108" i="63"/>
  <c r="G109" i="63"/>
  <c r="H109" i="63"/>
  <c r="G110" i="63"/>
  <c r="H110" i="63"/>
  <c r="G111" i="63"/>
  <c r="H111" i="63"/>
  <c r="G112" i="63"/>
  <c r="H112" i="63"/>
  <c r="G113" i="63"/>
  <c r="H113" i="63"/>
  <c r="G114" i="63"/>
  <c r="H114" i="63"/>
  <c r="G115" i="63"/>
  <c r="H115" i="63"/>
  <c r="G116" i="63"/>
  <c r="H116" i="63"/>
  <c r="G117" i="63"/>
  <c r="H117" i="63"/>
  <c r="G118" i="63"/>
  <c r="H118" i="63"/>
  <c r="G119" i="63"/>
  <c r="H119" i="63"/>
  <c r="G120" i="63"/>
  <c r="H120" i="63"/>
  <c r="G121" i="63"/>
  <c r="H121" i="63"/>
  <c r="G122" i="63"/>
  <c r="H122" i="63"/>
  <c r="G123" i="63"/>
  <c r="H123" i="63"/>
  <c r="G124" i="63"/>
  <c r="H124" i="63"/>
  <c r="G125" i="63"/>
  <c r="H125" i="63"/>
  <c r="G126" i="63"/>
  <c r="H126" i="63"/>
  <c r="G127" i="63"/>
  <c r="H127" i="63"/>
  <c r="G128" i="63"/>
  <c r="H128" i="63"/>
  <c r="G129" i="63"/>
  <c r="H129" i="63"/>
  <c r="G130" i="63"/>
  <c r="H130" i="63"/>
  <c r="G131" i="63"/>
  <c r="H131" i="63"/>
  <c r="G132" i="63"/>
  <c r="H132" i="63"/>
  <c r="G133" i="63"/>
  <c r="H133" i="63"/>
  <c r="G134" i="63"/>
  <c r="H134" i="63"/>
  <c r="G135" i="63"/>
  <c r="H135" i="63"/>
  <c r="G136" i="63"/>
  <c r="H136" i="63"/>
  <c r="G137" i="63"/>
  <c r="H137" i="63"/>
  <c r="G138" i="63"/>
  <c r="H138" i="63"/>
  <c r="G139" i="63"/>
  <c r="H139" i="63"/>
  <c r="G140" i="63"/>
  <c r="H140" i="63"/>
  <c r="G141" i="63"/>
  <c r="H141" i="63"/>
  <c r="G142" i="63"/>
  <c r="H142" i="63"/>
  <c r="G143" i="63"/>
  <c r="H143" i="63"/>
  <c r="G144" i="63"/>
  <c r="H144" i="63"/>
  <c r="G145" i="63"/>
  <c r="H145" i="63"/>
  <c r="G146" i="63"/>
  <c r="H146" i="63"/>
  <c r="G147" i="63"/>
  <c r="H147" i="63"/>
  <c r="G148" i="63"/>
  <c r="H148" i="63"/>
  <c r="G149" i="63"/>
  <c r="H149" i="63"/>
  <c r="G150" i="63"/>
  <c r="H150" i="63"/>
  <c r="G151" i="63"/>
  <c r="H151" i="63"/>
  <c r="G152" i="63"/>
  <c r="H152" i="63"/>
  <c r="G153" i="63"/>
  <c r="H153" i="63"/>
  <c r="G154" i="63"/>
  <c r="H154" i="63"/>
  <c r="G155" i="63"/>
  <c r="H155" i="63"/>
  <c r="G156" i="63"/>
  <c r="H156" i="63"/>
  <c r="G157" i="63"/>
  <c r="H157" i="63"/>
  <c r="G158" i="63"/>
  <c r="H158" i="63"/>
  <c r="G159" i="63"/>
  <c r="H159" i="63"/>
  <c r="G160" i="63"/>
  <c r="H160" i="63"/>
  <c r="G161" i="63"/>
  <c r="H161" i="63"/>
  <c r="G162" i="63"/>
  <c r="H162" i="63"/>
  <c r="G163" i="63"/>
  <c r="H163" i="63"/>
  <c r="G164" i="63"/>
  <c r="H164" i="63"/>
  <c r="G165" i="63"/>
  <c r="H165" i="63"/>
  <c r="G166" i="63"/>
  <c r="H166" i="63"/>
  <c r="G167" i="63"/>
  <c r="H167" i="63"/>
  <c r="G168" i="63"/>
  <c r="H168" i="63"/>
  <c r="G169" i="63"/>
  <c r="H169" i="63"/>
  <c r="G170" i="63"/>
  <c r="H170" i="63"/>
  <c r="G171" i="63"/>
  <c r="H171" i="63"/>
  <c r="G172" i="63"/>
  <c r="H172" i="63"/>
  <c r="G173" i="63"/>
  <c r="H173" i="63"/>
  <c r="G174" i="63"/>
  <c r="H174" i="63"/>
  <c r="G175" i="63"/>
  <c r="H175" i="63"/>
  <c r="G176" i="63"/>
  <c r="H176" i="63"/>
  <c r="G177" i="63"/>
  <c r="H177" i="63"/>
  <c r="G178" i="63"/>
  <c r="H178" i="63"/>
  <c r="G179" i="63"/>
  <c r="H179" i="63"/>
  <c r="G180" i="63"/>
  <c r="H180" i="63"/>
  <c r="G181" i="63"/>
  <c r="H181" i="63"/>
  <c r="G182" i="63"/>
  <c r="H182" i="63"/>
  <c r="G183" i="63"/>
  <c r="H183" i="63"/>
  <c r="G184" i="63"/>
  <c r="H184" i="63"/>
  <c r="G185" i="63"/>
  <c r="H185" i="63"/>
  <c r="G186" i="63"/>
  <c r="H186" i="63"/>
  <c r="G187" i="63"/>
  <c r="H187" i="63"/>
  <c r="G188" i="63"/>
  <c r="H188" i="63"/>
  <c r="G189" i="63"/>
  <c r="H189" i="63"/>
  <c r="G190" i="63"/>
  <c r="H190" i="63"/>
  <c r="G191" i="63"/>
  <c r="H191" i="63"/>
  <c r="G192" i="63"/>
  <c r="H192" i="63"/>
  <c r="G193" i="63"/>
  <c r="H193" i="63"/>
  <c r="G194" i="63"/>
  <c r="H194" i="63"/>
  <c r="G195" i="63"/>
  <c r="H195" i="63"/>
  <c r="G196" i="63"/>
  <c r="H196" i="63"/>
  <c r="G197" i="63"/>
  <c r="H197" i="63"/>
  <c r="G198" i="63"/>
  <c r="H198" i="63"/>
  <c r="G199" i="63"/>
  <c r="H199" i="63"/>
  <c r="G200" i="63"/>
  <c r="H200" i="63"/>
  <c r="G201" i="63"/>
  <c r="H201" i="63"/>
  <c r="G202" i="63"/>
  <c r="H202" i="63"/>
  <c r="G203" i="63"/>
  <c r="H203" i="63"/>
  <c r="G204" i="63"/>
  <c r="H204" i="63"/>
  <c r="G205" i="63"/>
  <c r="H205" i="63"/>
  <c r="G206" i="63"/>
  <c r="H206" i="63"/>
  <c r="G207" i="63"/>
  <c r="H207" i="63"/>
  <c r="G208" i="63"/>
  <c r="H208" i="63"/>
  <c r="G209" i="63"/>
  <c r="H209" i="63"/>
  <c r="G210" i="63"/>
  <c r="H210" i="63"/>
  <c r="G211" i="63"/>
  <c r="H211" i="63"/>
  <c r="G212" i="63"/>
  <c r="H212" i="63"/>
  <c r="G213" i="63"/>
  <c r="H213" i="63"/>
  <c r="G214" i="63"/>
  <c r="H214" i="63"/>
  <c r="G215" i="63"/>
  <c r="H215" i="63"/>
  <c r="G216" i="63"/>
  <c r="H216" i="63"/>
  <c r="G217" i="63"/>
  <c r="H217" i="63"/>
  <c r="G218" i="63"/>
  <c r="H218" i="63"/>
  <c r="G219" i="63"/>
  <c r="H219" i="63"/>
  <c r="G220" i="63"/>
  <c r="H220" i="63"/>
  <c r="G221" i="63"/>
  <c r="H221" i="63"/>
  <c r="G222" i="63"/>
  <c r="H222" i="63"/>
  <c r="G223" i="63"/>
  <c r="H223" i="63"/>
  <c r="G224" i="63"/>
  <c r="H224" i="63"/>
  <c r="G225" i="63"/>
  <c r="H225" i="63"/>
  <c r="G226" i="63"/>
  <c r="H226" i="63"/>
  <c r="G227" i="63"/>
  <c r="H227" i="63"/>
  <c r="G228" i="63"/>
  <c r="H228" i="63"/>
  <c r="G229" i="63"/>
  <c r="H229" i="63"/>
  <c r="G230" i="63"/>
  <c r="H230" i="63"/>
  <c r="G231" i="63"/>
  <c r="H231" i="63"/>
  <c r="G232" i="63"/>
  <c r="H232" i="63"/>
  <c r="G233" i="63"/>
  <c r="H233" i="63"/>
  <c r="G234" i="63"/>
  <c r="H234" i="63"/>
  <c r="G235" i="63"/>
  <c r="H235" i="63"/>
  <c r="G236" i="63"/>
  <c r="H236" i="63"/>
  <c r="G237" i="63"/>
  <c r="H237" i="63"/>
  <c r="G238" i="63"/>
  <c r="H238" i="63"/>
  <c r="G239" i="63"/>
  <c r="H239" i="63"/>
  <c r="G240" i="63"/>
  <c r="H240" i="63"/>
  <c r="G241" i="63"/>
  <c r="H241" i="63"/>
  <c r="G242" i="63"/>
  <c r="H242" i="63"/>
  <c r="G243" i="63"/>
  <c r="H243" i="63"/>
  <c r="G244" i="63"/>
  <c r="H244" i="63"/>
  <c r="G245" i="63"/>
  <c r="H245" i="63"/>
  <c r="G246" i="63"/>
  <c r="H246" i="63"/>
  <c r="G247" i="63"/>
  <c r="H247" i="63"/>
  <c r="G248" i="63"/>
  <c r="H248" i="63"/>
  <c r="G249" i="63"/>
  <c r="H249" i="63"/>
  <c r="G250" i="63"/>
  <c r="H250" i="63"/>
  <c r="G251" i="63"/>
  <c r="H251" i="63"/>
  <c r="G252" i="63"/>
  <c r="H252" i="63"/>
  <c r="G253" i="63"/>
  <c r="H253" i="63"/>
  <c r="G254" i="63"/>
  <c r="H254" i="63"/>
  <c r="G255" i="63"/>
  <c r="H255" i="63"/>
  <c r="G256" i="63"/>
  <c r="H256" i="63"/>
  <c r="G257" i="63"/>
  <c r="H257" i="63"/>
  <c r="G258" i="63"/>
  <c r="H258" i="63"/>
  <c r="G259" i="63"/>
  <c r="H259" i="63"/>
  <c r="G260" i="63"/>
  <c r="H260" i="63"/>
  <c r="G261" i="63"/>
  <c r="H261" i="63"/>
  <c r="G262" i="63"/>
  <c r="H262" i="63"/>
  <c r="G263" i="63"/>
  <c r="H263" i="63"/>
  <c r="G264" i="63"/>
  <c r="H264" i="63"/>
  <c r="G265" i="63"/>
  <c r="H265" i="63"/>
  <c r="G266" i="63"/>
  <c r="H266" i="63"/>
  <c r="G267" i="63"/>
  <c r="H267" i="63"/>
  <c r="G268" i="63"/>
  <c r="H268" i="63"/>
  <c r="G269" i="63"/>
  <c r="H269" i="63"/>
  <c r="G270" i="63"/>
  <c r="H270" i="63"/>
  <c r="G271" i="63"/>
  <c r="H271" i="63"/>
  <c r="G272" i="63"/>
  <c r="H272" i="63"/>
  <c r="G273" i="63"/>
  <c r="H273" i="63"/>
  <c r="G274" i="63"/>
  <c r="H274" i="63"/>
  <c r="G275" i="63"/>
  <c r="H275" i="63"/>
  <c r="G276" i="63"/>
  <c r="H276" i="63"/>
  <c r="G277" i="63"/>
  <c r="H277" i="63"/>
  <c r="G278" i="63"/>
  <c r="H278" i="63"/>
  <c r="G279" i="63"/>
  <c r="H279" i="63"/>
  <c r="G280" i="63"/>
  <c r="H280" i="63"/>
  <c r="G281" i="63"/>
  <c r="H281" i="63"/>
  <c r="G282" i="63"/>
  <c r="H282" i="63"/>
  <c r="G283" i="63"/>
  <c r="H283" i="63"/>
  <c r="G284" i="63"/>
  <c r="H284" i="63"/>
  <c r="G285" i="63"/>
  <c r="H285" i="63"/>
  <c r="G286" i="63"/>
  <c r="H286" i="63"/>
  <c r="G287" i="63"/>
  <c r="H287" i="63"/>
  <c r="G288" i="63"/>
  <c r="H288" i="63"/>
  <c r="G289" i="63"/>
  <c r="H289" i="63"/>
  <c r="G290" i="63"/>
  <c r="H290" i="63"/>
  <c r="G291" i="63"/>
  <c r="H291" i="63"/>
  <c r="G292" i="63"/>
  <c r="H292" i="63"/>
  <c r="G293" i="63"/>
  <c r="H293" i="63"/>
  <c r="G294" i="63"/>
  <c r="H294" i="63"/>
  <c r="G295" i="63"/>
  <c r="H295" i="63"/>
  <c r="G296" i="63"/>
  <c r="H296" i="63"/>
  <c r="G297" i="63"/>
  <c r="H297" i="63"/>
  <c r="G298" i="63"/>
  <c r="H298" i="63"/>
  <c r="G299" i="63"/>
  <c r="H299" i="63"/>
  <c r="G300" i="63"/>
  <c r="H300" i="63"/>
  <c r="G301" i="63"/>
  <c r="H301" i="63"/>
  <c r="G302" i="63"/>
  <c r="H302" i="63"/>
  <c r="G303" i="63"/>
  <c r="H303" i="63"/>
  <c r="G304" i="63"/>
  <c r="H304" i="63"/>
  <c r="G305" i="63"/>
  <c r="H305" i="63"/>
  <c r="G306" i="63"/>
  <c r="H306" i="63"/>
  <c r="G307" i="63"/>
  <c r="H307" i="63"/>
  <c r="G308" i="63"/>
  <c r="H308" i="63"/>
  <c r="G309" i="63"/>
  <c r="H309" i="63"/>
  <c r="G310" i="63"/>
  <c r="H310" i="63"/>
  <c r="G311" i="63"/>
  <c r="H311" i="63"/>
  <c r="G312" i="63"/>
  <c r="H312" i="63"/>
  <c r="G313" i="63"/>
  <c r="H313" i="63"/>
  <c r="G314" i="63"/>
  <c r="H314" i="63"/>
  <c r="G315" i="63"/>
  <c r="H315" i="63"/>
  <c r="G316" i="63"/>
  <c r="H316" i="63"/>
  <c r="G317" i="63"/>
  <c r="H317" i="63"/>
  <c r="G318" i="63"/>
  <c r="H318" i="63"/>
  <c r="G319" i="63"/>
  <c r="H319" i="63"/>
  <c r="G320" i="63"/>
  <c r="H320" i="63"/>
  <c r="G321" i="63"/>
  <c r="H321" i="63"/>
  <c r="G322" i="63"/>
  <c r="H322" i="63"/>
  <c r="G323" i="63"/>
  <c r="H323" i="63"/>
  <c r="G324" i="63"/>
  <c r="H324" i="63"/>
  <c r="G325" i="63"/>
  <c r="H325" i="63"/>
  <c r="G326" i="63"/>
  <c r="H326" i="63"/>
  <c r="G327" i="63"/>
  <c r="H327" i="63"/>
  <c r="G328" i="63"/>
  <c r="H328" i="63"/>
  <c r="G329" i="63"/>
  <c r="H329" i="63"/>
  <c r="G330" i="63"/>
  <c r="H330" i="63"/>
  <c r="G331" i="63"/>
  <c r="H331" i="63"/>
  <c r="G332" i="63"/>
  <c r="H332" i="63"/>
  <c r="G333" i="63"/>
  <c r="H333" i="63"/>
  <c r="G334" i="63"/>
  <c r="H334" i="63"/>
  <c r="G335" i="63"/>
  <c r="H335" i="63"/>
  <c r="G336" i="63"/>
  <c r="H336" i="63"/>
  <c r="G337" i="63"/>
  <c r="H337" i="63"/>
  <c r="G338" i="63"/>
  <c r="H338" i="63"/>
  <c r="G339" i="63"/>
  <c r="H339" i="63"/>
  <c r="G340" i="63"/>
  <c r="H340" i="63"/>
  <c r="G341" i="63"/>
  <c r="H341" i="63"/>
  <c r="G342" i="63"/>
  <c r="H342" i="63"/>
  <c r="G343" i="63"/>
  <c r="H343" i="63"/>
  <c r="G344" i="63"/>
  <c r="H344" i="63"/>
  <c r="G345" i="63"/>
  <c r="H345" i="63"/>
  <c r="G346" i="63"/>
  <c r="H346" i="63"/>
  <c r="G347" i="63"/>
  <c r="H347" i="63"/>
  <c r="G348" i="63"/>
  <c r="H348" i="63"/>
  <c r="G349" i="63"/>
  <c r="H349" i="63"/>
  <c r="G350" i="63"/>
  <c r="H350" i="63"/>
  <c r="G351" i="63"/>
  <c r="H351" i="63"/>
  <c r="G352" i="63"/>
  <c r="H352" i="63"/>
  <c r="G353" i="63"/>
  <c r="H353" i="63"/>
  <c r="G354" i="63"/>
  <c r="H354" i="63"/>
  <c r="G355" i="63"/>
  <c r="H355" i="63"/>
  <c r="G356" i="63"/>
  <c r="H356" i="63"/>
  <c r="G357" i="63"/>
  <c r="H357" i="63"/>
  <c r="G358" i="63"/>
  <c r="H358" i="63"/>
  <c r="G359" i="63"/>
  <c r="H359" i="63"/>
  <c r="G360" i="63"/>
  <c r="H360" i="63"/>
  <c r="G361" i="63"/>
  <c r="H361" i="63"/>
  <c r="G362" i="63"/>
  <c r="H362" i="63"/>
  <c r="G363" i="63"/>
  <c r="H363" i="63"/>
  <c r="G364" i="63"/>
  <c r="H364" i="63"/>
  <c r="G365" i="63"/>
  <c r="H365" i="63"/>
  <c r="G366" i="63"/>
  <c r="H366" i="63"/>
  <c r="G367" i="63"/>
  <c r="H367" i="63"/>
  <c r="G368" i="63"/>
  <c r="H368" i="63"/>
  <c r="G369" i="63"/>
  <c r="H369" i="63"/>
  <c r="G370" i="63"/>
  <c r="H370" i="63"/>
  <c r="G371" i="63"/>
  <c r="H371" i="63"/>
  <c r="G372" i="63"/>
  <c r="H372" i="63"/>
  <c r="G373" i="63"/>
  <c r="H373" i="63"/>
  <c r="G374" i="63"/>
  <c r="H374" i="63"/>
  <c r="G375" i="63"/>
  <c r="H375" i="63"/>
  <c r="G376" i="63"/>
  <c r="H376" i="63"/>
  <c r="G377" i="63"/>
  <c r="H377" i="63"/>
  <c r="G378" i="63"/>
  <c r="H378" i="63"/>
  <c r="G379" i="63"/>
  <c r="H379" i="63"/>
  <c r="G380" i="63"/>
  <c r="H380" i="63"/>
  <c r="G381" i="63"/>
  <c r="H381" i="63"/>
  <c r="G382" i="63"/>
  <c r="H382" i="63"/>
  <c r="G383" i="63"/>
  <c r="H383" i="63"/>
  <c r="G384" i="63"/>
  <c r="H384" i="63"/>
  <c r="G385" i="63"/>
  <c r="H385" i="63"/>
  <c r="G386" i="63"/>
  <c r="H386" i="63"/>
  <c r="G387" i="63"/>
  <c r="H387" i="63"/>
  <c r="G388" i="63"/>
  <c r="H388" i="63"/>
  <c r="G389" i="63"/>
  <c r="H389" i="63"/>
  <c r="G390" i="63"/>
  <c r="H390" i="63"/>
  <c r="G391" i="63"/>
  <c r="H391" i="63"/>
  <c r="G392" i="63"/>
  <c r="H392" i="63"/>
  <c r="G393" i="63"/>
  <c r="H393" i="63"/>
  <c r="G394" i="63"/>
  <c r="H394" i="63"/>
  <c r="G395" i="63"/>
  <c r="H395" i="63"/>
  <c r="G396" i="63"/>
  <c r="H396" i="63"/>
  <c r="G397" i="63"/>
  <c r="H397" i="63"/>
  <c r="G398" i="63"/>
  <c r="H398" i="63"/>
  <c r="G399" i="63"/>
  <c r="H399" i="63"/>
  <c r="G400" i="63"/>
  <c r="H400" i="63"/>
  <c r="G401" i="63"/>
  <c r="H401" i="63"/>
  <c r="G402" i="63"/>
  <c r="H402" i="63"/>
  <c r="G403" i="63"/>
  <c r="H403" i="63"/>
  <c r="G404" i="63"/>
  <c r="H404" i="63"/>
  <c r="G405" i="63"/>
  <c r="H405" i="63"/>
  <c r="G406" i="63"/>
  <c r="H406" i="63"/>
  <c r="G407" i="63"/>
  <c r="H407" i="63"/>
  <c r="G408" i="63"/>
  <c r="H408" i="63"/>
  <c r="G409" i="63"/>
  <c r="H409" i="63"/>
  <c r="G410" i="63"/>
  <c r="H410" i="63"/>
  <c r="G411" i="63"/>
  <c r="H411" i="63"/>
  <c r="G412" i="63"/>
  <c r="H412" i="63"/>
  <c r="G413" i="63"/>
  <c r="H413" i="63"/>
  <c r="G414" i="63"/>
  <c r="H414" i="63"/>
  <c r="G415" i="63"/>
  <c r="H415" i="63"/>
  <c r="G416" i="63"/>
  <c r="H416" i="63"/>
  <c r="G417" i="63"/>
  <c r="H417" i="63"/>
  <c r="G418" i="63"/>
  <c r="H418" i="63"/>
  <c r="G419" i="63"/>
  <c r="H419" i="63"/>
  <c r="G420" i="63"/>
  <c r="H420" i="63"/>
  <c r="G421" i="63"/>
  <c r="H421" i="63"/>
  <c r="G422" i="63"/>
  <c r="H422" i="63"/>
  <c r="G423" i="63"/>
  <c r="H423" i="63"/>
  <c r="G424" i="63"/>
  <c r="H424" i="63"/>
  <c r="G425" i="63"/>
  <c r="H425" i="63"/>
  <c r="G426" i="63"/>
  <c r="H426" i="63"/>
  <c r="G427" i="63"/>
  <c r="H427" i="63"/>
  <c r="G428" i="63"/>
  <c r="H428" i="63"/>
  <c r="G429" i="63"/>
  <c r="H429" i="63"/>
  <c r="G430" i="63"/>
  <c r="H430" i="63"/>
  <c r="G431" i="63"/>
  <c r="H431" i="63"/>
  <c r="G432" i="63"/>
  <c r="H432" i="63"/>
  <c r="G433" i="63"/>
  <c r="H433" i="63"/>
  <c r="G434" i="63"/>
  <c r="H434" i="63"/>
  <c r="G435" i="63"/>
  <c r="H435" i="63"/>
  <c r="G436" i="63"/>
  <c r="H436" i="63"/>
  <c r="G437" i="63"/>
  <c r="H437" i="63"/>
  <c r="G438" i="63"/>
  <c r="H438" i="63"/>
  <c r="G439" i="63"/>
  <c r="H439" i="63"/>
  <c r="G440" i="63"/>
  <c r="H440" i="63"/>
  <c r="G441" i="63"/>
  <c r="H441" i="63"/>
  <c r="G442" i="63"/>
  <c r="H442" i="63"/>
  <c r="G443" i="63"/>
  <c r="H443" i="63"/>
  <c r="G444" i="63"/>
  <c r="H444" i="63"/>
  <c r="G445" i="63"/>
  <c r="H445" i="63"/>
  <c r="G446" i="63"/>
  <c r="H446" i="63"/>
  <c r="G447" i="63"/>
  <c r="H447" i="63"/>
  <c r="G448" i="63"/>
  <c r="H448" i="63"/>
  <c r="G449" i="63"/>
  <c r="H449" i="63"/>
  <c r="G450" i="63"/>
  <c r="H450" i="63"/>
  <c r="G451" i="63"/>
  <c r="H451" i="63"/>
  <c r="G452" i="63"/>
  <c r="H452" i="63"/>
  <c r="G453" i="63"/>
  <c r="H453" i="63"/>
  <c r="G454" i="63"/>
  <c r="H454" i="63"/>
  <c r="G455" i="63"/>
  <c r="H455" i="63"/>
  <c r="G456" i="63"/>
  <c r="H456" i="63"/>
  <c r="G457" i="63"/>
  <c r="H457" i="63"/>
  <c r="G458" i="63"/>
  <c r="H458" i="63"/>
  <c r="G459" i="63"/>
  <c r="H459" i="63"/>
  <c r="G460" i="63"/>
  <c r="H460" i="63"/>
  <c r="G461" i="63"/>
  <c r="H461" i="63"/>
  <c r="G462" i="63"/>
  <c r="H462" i="63"/>
  <c r="G463" i="63"/>
  <c r="H463" i="63"/>
  <c r="G464" i="63"/>
  <c r="H464" i="63"/>
  <c r="G465" i="63"/>
  <c r="H465" i="63"/>
  <c r="G466" i="63"/>
  <c r="H466" i="63"/>
  <c r="G467" i="63"/>
  <c r="H467" i="63"/>
  <c r="G468" i="63"/>
  <c r="H468" i="63"/>
  <c r="G469" i="63"/>
  <c r="H469" i="63"/>
  <c r="G470" i="63"/>
  <c r="H470" i="63"/>
  <c r="G471" i="63"/>
  <c r="H471" i="63"/>
  <c r="G472" i="63"/>
  <c r="H472" i="63"/>
  <c r="G473" i="63"/>
  <c r="H473" i="63"/>
  <c r="G474" i="63"/>
  <c r="H474" i="63"/>
  <c r="G475" i="63"/>
  <c r="H475" i="63"/>
  <c r="G476" i="63"/>
  <c r="H476" i="63"/>
  <c r="G477" i="63"/>
  <c r="H477" i="63"/>
  <c r="G478" i="63"/>
  <c r="H478" i="63"/>
  <c r="G479" i="63"/>
  <c r="H479" i="63"/>
  <c r="G480" i="63"/>
  <c r="H480" i="63"/>
  <c r="G481" i="63"/>
  <c r="H481" i="63"/>
  <c r="G482" i="63"/>
  <c r="H482" i="63"/>
  <c r="G483" i="63"/>
  <c r="H483" i="63"/>
  <c r="G484" i="63"/>
  <c r="H484" i="63"/>
  <c r="G485" i="63"/>
  <c r="H485" i="63"/>
  <c r="G486" i="63"/>
  <c r="H486" i="63"/>
  <c r="G487" i="63"/>
  <c r="H487" i="63"/>
  <c r="G488" i="63"/>
  <c r="H488" i="63"/>
  <c r="G489" i="63"/>
  <c r="H489" i="63"/>
  <c r="G490" i="63"/>
  <c r="H490" i="63"/>
  <c r="G491" i="63"/>
  <c r="H491" i="63"/>
  <c r="G492" i="63"/>
  <c r="H492" i="63"/>
  <c r="G493" i="63"/>
  <c r="H493" i="63"/>
  <c r="G494" i="63"/>
  <c r="H494" i="63"/>
  <c r="G495" i="63"/>
  <c r="H495" i="63"/>
  <c r="G496" i="63"/>
  <c r="H496" i="63"/>
  <c r="G497" i="63"/>
  <c r="H497" i="63"/>
  <c r="G498" i="63"/>
  <c r="H498" i="63"/>
  <c r="G499" i="63"/>
  <c r="H499" i="63"/>
  <c r="G500" i="63"/>
  <c r="H500" i="63"/>
  <c r="G501" i="63"/>
  <c r="H501" i="63"/>
  <c r="G502" i="63"/>
  <c r="H502" i="63"/>
  <c r="G503" i="63"/>
  <c r="H503" i="63"/>
  <c r="G504" i="63"/>
  <c r="H504" i="63"/>
  <c r="G505" i="63"/>
  <c r="H505" i="63"/>
  <c r="G506" i="63"/>
  <c r="H506" i="63"/>
  <c r="G507" i="63"/>
  <c r="H507" i="63"/>
  <c r="G508" i="63"/>
  <c r="H508" i="63"/>
  <c r="G509" i="63"/>
  <c r="H509" i="63"/>
  <c r="G510" i="63"/>
  <c r="H510" i="63"/>
  <c r="G511" i="63"/>
  <c r="H511" i="63"/>
  <c r="G512" i="63"/>
  <c r="H512" i="63"/>
  <c r="G513" i="63"/>
  <c r="H513" i="63"/>
  <c r="G514" i="63"/>
  <c r="H514" i="63"/>
  <c r="G515" i="63"/>
  <c r="H515" i="63"/>
  <c r="G516" i="63"/>
  <c r="H516" i="63"/>
  <c r="G517" i="63"/>
  <c r="H517" i="63"/>
  <c r="G518" i="63"/>
  <c r="H518" i="63"/>
  <c r="G519" i="63"/>
  <c r="H519" i="63"/>
  <c r="G520" i="63"/>
  <c r="H520" i="63"/>
  <c r="G521" i="63"/>
  <c r="H521" i="63"/>
  <c r="G522" i="63"/>
  <c r="H522" i="63"/>
  <c r="G523" i="63"/>
  <c r="H523" i="63"/>
  <c r="G524" i="63"/>
  <c r="H524" i="63"/>
  <c r="G525" i="63"/>
  <c r="H525" i="63"/>
  <c r="G526" i="63"/>
  <c r="H526" i="63"/>
  <c r="G527" i="63"/>
  <c r="H527" i="63"/>
  <c r="G528" i="63"/>
  <c r="H528" i="63"/>
  <c r="G529" i="63"/>
  <c r="H529" i="63"/>
  <c r="G530" i="63"/>
  <c r="H530" i="63"/>
  <c r="G531" i="63"/>
  <c r="H531" i="63"/>
  <c r="G532" i="63"/>
  <c r="H532" i="63"/>
  <c r="G533" i="63"/>
  <c r="H533" i="63"/>
  <c r="G534" i="63"/>
  <c r="H534" i="63"/>
  <c r="G535" i="63"/>
  <c r="H535" i="63"/>
  <c r="G536" i="63"/>
  <c r="H536" i="63"/>
  <c r="G537" i="63"/>
  <c r="H537" i="63"/>
  <c r="G538" i="63"/>
  <c r="H538" i="63"/>
  <c r="G539" i="63"/>
  <c r="H539" i="63"/>
  <c r="G540" i="63"/>
  <c r="H540" i="63"/>
  <c r="G541" i="63"/>
  <c r="H541" i="63"/>
  <c r="G542" i="63"/>
  <c r="H542" i="63"/>
  <c r="G543" i="63"/>
  <c r="H543" i="63"/>
  <c r="G544" i="63"/>
  <c r="H544" i="63"/>
  <c r="G545" i="63"/>
  <c r="H545" i="63"/>
  <c r="G546" i="63"/>
  <c r="H546" i="63"/>
  <c r="G547" i="63"/>
  <c r="H547" i="63"/>
  <c r="G548" i="63"/>
  <c r="H548" i="63"/>
  <c r="G549" i="63"/>
  <c r="H549" i="63"/>
  <c r="G550" i="63"/>
  <c r="H550" i="63"/>
  <c r="G551" i="63"/>
  <c r="H551" i="63"/>
  <c r="G552" i="63"/>
  <c r="H552" i="63"/>
  <c r="G553" i="63"/>
  <c r="H553" i="63"/>
  <c r="G554" i="63"/>
  <c r="H554" i="63"/>
  <c r="G555" i="63"/>
  <c r="H555" i="63"/>
  <c r="G556" i="63"/>
  <c r="H556" i="63"/>
  <c r="G557" i="63"/>
  <c r="H557" i="63"/>
  <c r="G558" i="63"/>
  <c r="H558" i="63"/>
  <c r="G559" i="63"/>
  <c r="H559" i="63"/>
  <c r="G560" i="63"/>
  <c r="H560" i="63"/>
  <c r="G561" i="63"/>
  <c r="H561" i="63"/>
  <c r="G562" i="63"/>
  <c r="H562" i="63"/>
  <c r="G563" i="63"/>
  <c r="H563" i="63"/>
  <c r="G564" i="63"/>
  <c r="H564" i="63"/>
  <c r="G565" i="63"/>
  <c r="H565" i="63"/>
  <c r="G566" i="63"/>
  <c r="H566" i="63"/>
  <c r="G567" i="63"/>
  <c r="H567" i="63"/>
  <c r="G568" i="63"/>
  <c r="H568" i="63"/>
  <c r="G569" i="63"/>
  <c r="H569" i="63"/>
  <c r="G570" i="63"/>
  <c r="H570" i="63"/>
  <c r="G571" i="63"/>
  <c r="H571" i="63"/>
  <c r="G572" i="63"/>
  <c r="H572" i="63"/>
  <c r="G573" i="63"/>
  <c r="H573" i="63"/>
  <c r="G574" i="63"/>
  <c r="H574" i="63"/>
  <c r="G575" i="63"/>
  <c r="H575" i="63"/>
  <c r="G576" i="63"/>
  <c r="H576" i="63"/>
  <c r="G577" i="63"/>
  <c r="H577" i="63"/>
  <c r="G578" i="63"/>
  <c r="H578" i="63"/>
  <c r="G579" i="63"/>
  <c r="H579" i="63"/>
  <c r="G580" i="63"/>
  <c r="H580" i="63"/>
  <c r="G581" i="63"/>
  <c r="H581" i="63"/>
  <c r="G582" i="63"/>
  <c r="H582" i="63"/>
  <c r="G583" i="63"/>
  <c r="H583" i="63"/>
  <c r="G584" i="63"/>
  <c r="H584" i="63"/>
  <c r="G585" i="63"/>
  <c r="H585" i="63"/>
  <c r="G586" i="63"/>
  <c r="H586" i="63"/>
  <c r="G587" i="63"/>
  <c r="H587" i="63"/>
  <c r="G588" i="63"/>
  <c r="H588" i="63"/>
  <c r="G589" i="63"/>
  <c r="H589" i="63"/>
  <c r="G590" i="63"/>
  <c r="H590" i="63"/>
  <c r="G591" i="63"/>
  <c r="H591" i="63"/>
  <c r="G592" i="63"/>
  <c r="H592" i="63"/>
  <c r="G593" i="63"/>
  <c r="H593" i="63"/>
  <c r="G594" i="63"/>
  <c r="H594" i="63"/>
  <c r="G595" i="63"/>
  <c r="H595" i="63"/>
  <c r="G596" i="63"/>
  <c r="H596" i="63"/>
  <c r="G597" i="63"/>
  <c r="H597" i="63"/>
  <c r="G598" i="63"/>
  <c r="H598" i="63"/>
  <c r="G599" i="63"/>
  <c r="H599" i="63"/>
  <c r="G600" i="63"/>
  <c r="H600" i="63"/>
  <c r="G601" i="63"/>
  <c r="H601" i="63"/>
  <c r="G602" i="63"/>
  <c r="H602" i="63"/>
  <c r="G603" i="63"/>
  <c r="H603" i="63"/>
  <c r="G604" i="63"/>
  <c r="H604" i="63"/>
  <c r="G605" i="63"/>
  <c r="H605" i="63"/>
  <c r="G606" i="63"/>
  <c r="H606" i="63"/>
  <c r="G607" i="63"/>
  <c r="H607" i="63"/>
  <c r="G608" i="63"/>
  <c r="H608" i="63"/>
  <c r="G609" i="63"/>
  <c r="H609" i="63"/>
  <c r="G610" i="63"/>
  <c r="H610" i="63"/>
  <c r="G611" i="63"/>
  <c r="H611" i="63"/>
  <c r="G612" i="63"/>
  <c r="H612" i="63"/>
  <c r="G613" i="63"/>
  <c r="H613" i="63"/>
  <c r="G614" i="63"/>
  <c r="H614" i="63"/>
  <c r="G615" i="63"/>
  <c r="H615" i="63"/>
  <c r="G616" i="63"/>
  <c r="H616" i="63"/>
  <c r="G617" i="63"/>
  <c r="H617" i="63"/>
  <c r="G618" i="63"/>
  <c r="H618" i="63"/>
  <c r="G619" i="63"/>
  <c r="H619" i="63"/>
  <c r="G620" i="63"/>
  <c r="H620" i="63"/>
  <c r="G621" i="63"/>
  <c r="H621" i="63"/>
  <c r="G622" i="63"/>
  <c r="H622" i="63"/>
  <c r="G623" i="63"/>
  <c r="H623" i="63"/>
  <c r="G624" i="63"/>
  <c r="H624" i="63"/>
  <c r="G625" i="63"/>
  <c r="H625" i="63"/>
  <c r="G626" i="63"/>
  <c r="H626" i="63"/>
  <c r="G627" i="63"/>
  <c r="H627" i="63"/>
  <c r="G628" i="63"/>
  <c r="H628" i="63"/>
  <c r="G629" i="63"/>
  <c r="H629" i="63"/>
  <c r="G630" i="63"/>
  <c r="H630" i="63"/>
  <c r="G631" i="63"/>
  <c r="H631" i="63"/>
  <c r="G632" i="63"/>
  <c r="H632" i="63"/>
  <c r="G633" i="63"/>
  <c r="H633" i="63"/>
  <c r="G634" i="63"/>
  <c r="H634" i="63"/>
  <c r="G635" i="63"/>
  <c r="H635" i="63"/>
  <c r="G636" i="63"/>
  <c r="H636" i="63"/>
  <c r="G637" i="63"/>
  <c r="H637" i="63"/>
  <c r="G638" i="63"/>
  <c r="H638" i="63"/>
  <c r="G639" i="63"/>
  <c r="H639" i="63"/>
  <c r="G640" i="63"/>
  <c r="H640" i="63"/>
  <c r="G641" i="63"/>
  <c r="H641" i="63"/>
  <c r="G642" i="63"/>
  <c r="H642" i="63"/>
  <c r="G643" i="63"/>
  <c r="H643" i="63"/>
  <c r="G644" i="63"/>
  <c r="H644" i="63"/>
  <c r="G645" i="63"/>
  <c r="H645" i="63"/>
  <c r="G646" i="63"/>
  <c r="H646" i="63"/>
  <c r="G647" i="63"/>
  <c r="H647" i="63"/>
  <c r="G648" i="63"/>
  <c r="H648" i="63"/>
  <c r="G649" i="63"/>
  <c r="H649" i="63"/>
  <c r="G650" i="63"/>
  <c r="H650" i="63"/>
  <c r="G651" i="63"/>
  <c r="H651" i="63"/>
  <c r="G652" i="63"/>
  <c r="H652" i="63"/>
  <c r="G653" i="63"/>
  <c r="H653" i="63"/>
  <c r="G654" i="63"/>
  <c r="H654" i="63"/>
  <c r="G655" i="63"/>
  <c r="H655" i="63"/>
  <c r="G656" i="63"/>
  <c r="H656" i="63"/>
  <c r="G657" i="63"/>
  <c r="H657" i="63"/>
  <c r="G658" i="63"/>
  <c r="H658" i="63"/>
  <c r="G659" i="63"/>
  <c r="H659" i="63"/>
  <c r="G660" i="63"/>
  <c r="H660" i="63"/>
  <c r="G661" i="63"/>
  <c r="H661" i="63"/>
  <c r="G662" i="63"/>
  <c r="H662" i="63"/>
  <c r="G663" i="63"/>
  <c r="H663" i="63"/>
  <c r="H664" i="63"/>
  <c r="H665" i="63"/>
  <c r="H666" i="63"/>
  <c r="H667" i="63"/>
  <c r="H668" i="63"/>
  <c r="H669" i="63"/>
  <c r="H670" i="63"/>
  <c r="H671" i="63"/>
  <c r="H672" i="63"/>
  <c r="H673" i="63"/>
  <c r="H674" i="63"/>
  <c r="H675" i="63"/>
  <c r="H676" i="63"/>
  <c r="H677" i="63"/>
  <c r="H678" i="63"/>
  <c r="H679" i="63"/>
  <c r="H680" i="63"/>
  <c r="H681" i="63"/>
  <c r="H682" i="63"/>
  <c r="H683" i="63"/>
  <c r="H684" i="63"/>
  <c r="H685" i="63"/>
  <c r="H686" i="63"/>
  <c r="H687" i="63"/>
  <c r="H688" i="63"/>
  <c r="H689" i="63"/>
  <c r="H690" i="63"/>
  <c r="H691" i="63"/>
  <c r="H692" i="63"/>
  <c r="H693" i="63"/>
  <c r="D375" i="63"/>
  <c r="E375" i="63"/>
  <c r="B363" i="85" s="1"/>
  <c r="D376" i="63"/>
  <c r="E376" i="63"/>
  <c r="B364" i="85" s="1"/>
  <c r="D377" i="63"/>
  <c r="E377" i="63"/>
  <c r="B365" i="85" s="1"/>
  <c r="D378" i="63"/>
  <c r="E378" i="63"/>
  <c r="B366" i="85" s="1"/>
  <c r="D379" i="63"/>
  <c r="E379" i="63"/>
  <c r="B367" i="85" s="1"/>
  <c r="J4" i="47"/>
  <c r="J5" i="47"/>
  <c r="J6" i="47"/>
  <c r="J7" i="47"/>
  <c r="J8" i="47"/>
  <c r="J9" i="47"/>
  <c r="J10" i="47"/>
  <c r="J11" i="47"/>
  <c r="J12" i="47"/>
  <c r="J13" i="47"/>
  <c r="J14" i="47"/>
  <c r="J15" i="47"/>
  <c r="J16" i="47"/>
  <c r="J17" i="47"/>
  <c r="J18" i="47"/>
  <c r="J19" i="47"/>
  <c r="J20" i="47"/>
  <c r="J21" i="47"/>
  <c r="J22" i="47"/>
  <c r="J23" i="47"/>
  <c r="J24" i="47"/>
  <c r="J25" i="47"/>
  <c r="J26" i="47"/>
  <c r="J27" i="47"/>
  <c r="J28" i="47"/>
  <c r="J29" i="47"/>
  <c r="J30" i="47"/>
  <c r="J31" i="47"/>
  <c r="J32" i="47"/>
  <c r="J33" i="47"/>
  <c r="J34" i="47"/>
  <c r="J35" i="47"/>
  <c r="J36" i="47"/>
  <c r="J37" i="47"/>
  <c r="J38" i="47"/>
  <c r="J39" i="47"/>
  <c r="J40" i="47"/>
  <c r="J41" i="47"/>
  <c r="J42" i="47"/>
  <c r="J43" i="47"/>
  <c r="J44" i="47"/>
  <c r="J45" i="47"/>
  <c r="J46" i="47"/>
  <c r="J47" i="47"/>
  <c r="J48" i="47"/>
  <c r="J49" i="47"/>
  <c r="J50" i="47"/>
  <c r="J51" i="47"/>
  <c r="J52" i="47"/>
  <c r="J53" i="47"/>
  <c r="J54" i="47"/>
  <c r="J55" i="47"/>
  <c r="J56" i="47"/>
  <c r="J57" i="47"/>
  <c r="J58" i="47"/>
  <c r="J59" i="47"/>
  <c r="J60" i="47"/>
  <c r="J61" i="47"/>
  <c r="I5" i="47"/>
  <c r="I6" i="47"/>
  <c r="I7" i="47"/>
  <c r="I8" i="47"/>
  <c r="I9" i="47"/>
  <c r="I10" i="47"/>
  <c r="I11" i="47"/>
  <c r="I12" i="47"/>
  <c r="I13" i="47"/>
  <c r="I14" i="47"/>
  <c r="I15" i="47"/>
  <c r="I16" i="47"/>
  <c r="I17" i="47"/>
  <c r="I18" i="47"/>
  <c r="I19" i="47"/>
  <c r="I20" i="47"/>
  <c r="I21" i="47"/>
  <c r="I22" i="47"/>
  <c r="I23" i="47"/>
  <c r="I24" i="47"/>
  <c r="I25" i="47"/>
  <c r="I26" i="47"/>
  <c r="I27" i="47"/>
  <c r="I28" i="47"/>
  <c r="I29" i="47"/>
  <c r="I30" i="47"/>
  <c r="I31" i="47"/>
  <c r="I32" i="47"/>
  <c r="I33" i="47"/>
  <c r="I34" i="47"/>
  <c r="I35" i="47"/>
  <c r="I36" i="47"/>
  <c r="I37" i="47"/>
  <c r="I38" i="47"/>
  <c r="I39" i="47"/>
  <c r="I40" i="47"/>
  <c r="I41" i="47"/>
  <c r="I42" i="47"/>
  <c r="I43" i="47"/>
  <c r="I44" i="47"/>
  <c r="I45" i="47"/>
  <c r="I46" i="47"/>
  <c r="I47" i="47"/>
  <c r="I48" i="47"/>
  <c r="I49" i="47"/>
  <c r="I50" i="47"/>
  <c r="I51" i="47"/>
  <c r="I52" i="47"/>
  <c r="I53" i="47"/>
  <c r="I54" i="47"/>
  <c r="I55" i="47"/>
  <c r="I56" i="47"/>
  <c r="I57" i="47"/>
  <c r="I58" i="47"/>
  <c r="I59" i="47"/>
  <c r="I60" i="47"/>
  <c r="I61" i="47"/>
  <c r="S43" i="3"/>
  <c r="D5" i="47"/>
  <c r="D6" i="47"/>
  <c r="F4" i="47"/>
  <c r="H4" i="47"/>
  <c r="C4" i="84" s="1"/>
  <c r="G4" i="47"/>
  <c r="B4" i="84" s="1"/>
  <c r="G61" i="47"/>
  <c r="B61" i="84" s="1"/>
  <c r="F60" i="3"/>
  <c r="F61" i="3"/>
  <c r="H59" i="53"/>
  <c r="B57" i="89" s="1"/>
  <c r="H60" i="53"/>
  <c r="B58" i="89" s="1"/>
  <c r="H5" i="53"/>
  <c r="I5" i="5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H20" i="53"/>
  <c r="B18" i="89" s="1"/>
  <c r="H6" i="53"/>
  <c r="B4" i="89" s="1"/>
  <c r="I6" i="53"/>
  <c r="J6" i="53"/>
  <c r="H33" i="53"/>
  <c r="B31" i="89" s="1"/>
  <c r="H32" i="53"/>
  <c r="B30" i="89" s="1"/>
  <c r="I32" i="53"/>
  <c r="H34" i="53"/>
  <c r="B32" i="89" s="1"/>
  <c r="H35" i="53"/>
  <c r="B33" i="89" s="1"/>
  <c r="I35" i="53"/>
  <c r="H36" i="53"/>
  <c r="H22" i="53"/>
  <c r="B20" i="89" s="1"/>
  <c r="I22" i="53"/>
  <c r="H21" i="53"/>
  <c r="H23" i="53"/>
  <c r="B21" i="89" s="1"/>
  <c r="H24" i="53"/>
  <c r="B22" i="89" s="1"/>
  <c r="I24" i="53"/>
  <c r="J25" i="53" s="1"/>
  <c r="H25" i="53"/>
  <c r="B23" i="89" s="1"/>
  <c r="I25" i="53"/>
  <c r="K25" i="53"/>
  <c r="H26" i="53"/>
  <c r="B24" i="89" s="1"/>
  <c r="H27" i="53"/>
  <c r="B25" i="89" s="1"/>
  <c r="I27" i="53"/>
  <c r="H28" i="53"/>
  <c r="H29" i="53"/>
  <c r="B27" i="89" s="1"/>
  <c r="F7" i="3"/>
  <c r="H7" i="3"/>
  <c r="H7" i="53"/>
  <c r="B5" i="89" s="1"/>
  <c r="O7" i="53"/>
  <c r="P7" i="53" s="1"/>
  <c r="C5" i="88" s="1"/>
  <c r="H8" i="53"/>
  <c r="H9" i="53"/>
  <c r="B7" i="89" s="1"/>
  <c r="H10" i="53"/>
  <c r="B8" i="89" s="1"/>
  <c r="H11" i="53"/>
  <c r="B9" i="89" s="1"/>
  <c r="I11" i="53"/>
  <c r="H12" i="53"/>
  <c r="B10" i="89" s="1"/>
  <c r="H13" i="53"/>
  <c r="B11" i="89" s="1"/>
  <c r="H14" i="53"/>
  <c r="B12" i="89" s="1"/>
  <c r="H15" i="53"/>
  <c r="B13" i="89" s="1"/>
  <c r="I15" i="53"/>
  <c r="H16" i="53"/>
  <c r="B14" i="89" s="1"/>
  <c r="H17" i="53"/>
  <c r="H18" i="53"/>
  <c r="B16" i="89" s="1"/>
  <c r="H19" i="53"/>
  <c r="B17" i="89" s="1"/>
  <c r="I19" i="53"/>
  <c r="H30" i="53"/>
  <c r="B28" i="89" s="1"/>
  <c r="H31" i="53"/>
  <c r="B29" i="89" s="1"/>
  <c r="E14" i="58"/>
  <c r="E16" i="58"/>
  <c r="E21" i="58"/>
  <c r="E25" i="58"/>
  <c r="E32" i="58"/>
  <c r="E41" i="58"/>
  <c r="E45" i="58"/>
  <c r="E55" i="58"/>
  <c r="G60" i="47"/>
  <c r="B60" i="84" s="1"/>
  <c r="G59" i="47"/>
  <c r="B59" i="84" s="1"/>
  <c r="G58" i="47"/>
  <c r="B58" i="84" s="1"/>
  <c r="G57" i="47"/>
  <c r="B57" i="84" s="1"/>
  <c r="G56" i="47"/>
  <c r="B56" i="84" s="1"/>
  <c r="G55" i="47"/>
  <c r="B55" i="84" s="1"/>
  <c r="G54" i="47"/>
  <c r="G53" i="47"/>
  <c r="B53" i="84" s="1"/>
  <c r="G52" i="47"/>
  <c r="B52" i="84" s="1"/>
  <c r="G51" i="47"/>
  <c r="B51" i="84" s="1"/>
  <c r="G50" i="47"/>
  <c r="B50" i="84" s="1"/>
  <c r="G49" i="47"/>
  <c r="B49" i="84" s="1"/>
  <c r="G48" i="47"/>
  <c r="B48" i="84" s="1"/>
  <c r="G47" i="47"/>
  <c r="B47" i="84" s="1"/>
  <c r="G46" i="47"/>
  <c r="B46" i="84" s="1"/>
  <c r="G45" i="47"/>
  <c r="B45" i="84" s="1"/>
  <c r="G44" i="47"/>
  <c r="B44" i="84" s="1"/>
  <c r="G43" i="47"/>
  <c r="B43" i="84" s="1"/>
  <c r="G42" i="47"/>
  <c r="B42" i="84" s="1"/>
  <c r="G41" i="47"/>
  <c r="B41" i="84" s="1"/>
  <c r="G40" i="47"/>
  <c r="B40" i="84" s="1"/>
  <c r="G39" i="47"/>
  <c r="B39" i="84" s="1"/>
  <c r="G38" i="47"/>
  <c r="B38" i="84" s="1"/>
  <c r="G37" i="47"/>
  <c r="B37" i="84" s="1"/>
  <c r="G36" i="47"/>
  <c r="B36" i="84" s="1"/>
  <c r="G35" i="47"/>
  <c r="B35" i="84" s="1"/>
  <c r="G34" i="47"/>
  <c r="B34" i="84" s="1"/>
  <c r="G33" i="47"/>
  <c r="B33" i="84" s="1"/>
  <c r="G32" i="47"/>
  <c r="B32" i="84" s="1"/>
  <c r="G31" i="47"/>
  <c r="B31" i="84" s="1"/>
  <c r="G30" i="47"/>
  <c r="B30" i="84" s="1"/>
  <c r="G29" i="47"/>
  <c r="B29" i="84" s="1"/>
  <c r="G28" i="47"/>
  <c r="B28" i="84" s="1"/>
  <c r="G27" i="47"/>
  <c r="B27" i="84" s="1"/>
  <c r="G26" i="47"/>
  <c r="B26" i="84" s="1"/>
  <c r="G25" i="47"/>
  <c r="B25" i="84" s="1"/>
  <c r="G24" i="47"/>
  <c r="B24" i="84" s="1"/>
  <c r="G23" i="47"/>
  <c r="B23" i="84" s="1"/>
  <c r="G22" i="47"/>
  <c r="G21" i="47"/>
  <c r="B21" i="84" s="1"/>
  <c r="G20" i="47"/>
  <c r="B20" i="84" s="1"/>
  <c r="G19" i="47"/>
  <c r="B19" i="84" s="1"/>
  <c r="G18" i="47"/>
  <c r="B18" i="84" s="1"/>
  <c r="G17" i="47"/>
  <c r="B17" i="84" s="1"/>
  <c r="G16" i="47"/>
  <c r="B16" i="84" s="1"/>
  <c r="G15" i="47"/>
  <c r="B15" i="84" s="1"/>
  <c r="G14" i="47"/>
  <c r="B14" i="84" s="1"/>
  <c r="G13" i="47"/>
  <c r="B13" i="84" s="1"/>
  <c r="G12" i="47"/>
  <c r="B12" i="84" s="1"/>
  <c r="G11" i="47"/>
  <c r="B11" i="84" s="1"/>
  <c r="G10" i="47"/>
  <c r="B10" i="84" s="1"/>
  <c r="G9" i="47"/>
  <c r="B9" i="84" s="1"/>
  <c r="G8" i="47"/>
  <c r="B8" i="84" s="1"/>
  <c r="G7" i="47"/>
  <c r="B7" i="84" s="1"/>
  <c r="G6" i="47"/>
  <c r="B6" i="84" s="1"/>
  <c r="G5" i="47"/>
  <c r="B5" i="84" s="1"/>
  <c r="J30" i="45"/>
  <c r="BP18" i="45"/>
  <c r="BO18" i="45"/>
  <c r="BN18" i="45"/>
  <c r="BM18" i="45"/>
  <c r="BL18" i="45"/>
  <c r="BK18" i="45"/>
  <c r="BJ18" i="45"/>
  <c r="BI18" i="45"/>
  <c r="BH18" i="45"/>
  <c r="BF18" i="45"/>
  <c r="BG18" i="45"/>
  <c r="H29" i="45"/>
  <c r="BE18" i="45"/>
  <c r="BD18" i="45"/>
  <c r="BC18" i="45"/>
  <c r="BB18" i="45"/>
  <c r="BA18" i="45"/>
  <c r="AZ18" i="45"/>
  <c r="AY18" i="45"/>
  <c r="AX18" i="45"/>
  <c r="AW18" i="45"/>
  <c r="AV18" i="45"/>
  <c r="AU18" i="45"/>
  <c r="AT18" i="45"/>
  <c r="AS18" i="45"/>
  <c r="AR18" i="45"/>
  <c r="AQ18" i="45"/>
  <c r="AP18" i="45"/>
  <c r="AO18" i="45"/>
  <c r="AN18" i="45"/>
  <c r="AM18" i="45"/>
  <c r="AL18" i="45"/>
  <c r="AK18" i="45"/>
  <c r="AJ18" i="45"/>
  <c r="AI18" i="45"/>
  <c r="AH18" i="45"/>
  <c r="AG18" i="45"/>
  <c r="AF18" i="45"/>
  <c r="AE18" i="45"/>
  <c r="AD18" i="45"/>
  <c r="AB18" i="45"/>
  <c r="AC18" i="45"/>
  <c r="AA18" i="45"/>
  <c r="Z18" i="45"/>
  <c r="Y18" i="45"/>
  <c r="X18" i="45"/>
  <c r="W18" i="45"/>
  <c r="V18" i="45"/>
  <c r="U18" i="45"/>
  <c r="T18" i="45"/>
  <c r="S18" i="45"/>
  <c r="R18" i="45"/>
  <c r="Q18" i="45"/>
  <c r="P18" i="45"/>
  <c r="E29" i="45"/>
  <c r="E18" i="45"/>
  <c r="F18" i="45"/>
  <c r="G18" i="45"/>
  <c r="H18" i="45"/>
  <c r="I18" i="45"/>
  <c r="J18" i="45"/>
  <c r="K18" i="45"/>
  <c r="L18" i="45"/>
  <c r="M18" i="45"/>
  <c r="N18" i="45"/>
  <c r="O18" i="45"/>
  <c r="D18" i="45"/>
  <c r="BP17" i="45"/>
  <c r="BO17" i="45"/>
  <c r="BN17" i="45"/>
  <c r="BM17" i="45"/>
  <c r="BL17" i="45"/>
  <c r="BK17" i="45"/>
  <c r="BJ17" i="45"/>
  <c r="BI17" i="45"/>
  <c r="BH17" i="45"/>
  <c r="BF17" i="45"/>
  <c r="BG17" i="45"/>
  <c r="H28" i="45"/>
  <c r="BE17" i="45"/>
  <c r="BD17" i="45"/>
  <c r="BC17" i="45"/>
  <c r="BB17" i="45"/>
  <c r="BA17" i="45"/>
  <c r="AZ17" i="45"/>
  <c r="AY17" i="45"/>
  <c r="AX17" i="45"/>
  <c r="AW17" i="45"/>
  <c r="AV17" i="45"/>
  <c r="AU17" i="45"/>
  <c r="AR17" i="45"/>
  <c r="AS17" i="45"/>
  <c r="E17" i="45"/>
  <c r="F17" i="45"/>
  <c r="G17" i="45"/>
  <c r="H17" i="45"/>
  <c r="I17" i="45"/>
  <c r="J17" i="45"/>
  <c r="K17" i="45"/>
  <c r="L17" i="45"/>
  <c r="M17" i="45"/>
  <c r="N17" i="45"/>
  <c r="O17" i="45"/>
  <c r="P17" i="45"/>
  <c r="Q17" i="45"/>
  <c r="R17" i="45"/>
  <c r="S17" i="45"/>
  <c r="E28" i="45" s="1"/>
  <c r="T17" i="45"/>
  <c r="U17" i="45"/>
  <c r="V17" i="45"/>
  <c r="W17" i="45"/>
  <c r="X17" i="45"/>
  <c r="Y17" i="45"/>
  <c r="Z17" i="45"/>
  <c r="AA17" i="45"/>
  <c r="AB17" i="45"/>
  <c r="AC17" i="45"/>
  <c r="AD17" i="45"/>
  <c r="AE17" i="45"/>
  <c r="AF17" i="45"/>
  <c r="AG17" i="45"/>
  <c r="AH17" i="45"/>
  <c r="AI17" i="45"/>
  <c r="AJ17" i="45"/>
  <c r="AK17" i="45"/>
  <c r="AL17" i="45"/>
  <c r="AM17" i="45"/>
  <c r="AN17" i="45"/>
  <c r="AO17" i="45"/>
  <c r="AP17" i="45"/>
  <c r="AQ17" i="45"/>
  <c r="AT17" i="45"/>
  <c r="D17" i="45"/>
  <c r="BP16" i="45"/>
  <c r="BO16" i="45"/>
  <c r="BN16" i="45"/>
  <c r="BM16" i="45"/>
  <c r="BL16" i="45"/>
  <c r="BK16" i="45"/>
  <c r="BJ16" i="45"/>
  <c r="BI16" i="45"/>
  <c r="BH16" i="45"/>
  <c r="BG16" i="45"/>
  <c r="BF16" i="45"/>
  <c r="H27" i="45" s="1"/>
  <c r="BE16" i="45"/>
  <c r="BD16" i="45"/>
  <c r="BC16" i="45"/>
  <c r="BB16" i="45"/>
  <c r="BA16" i="45"/>
  <c r="AZ16" i="45"/>
  <c r="AY16" i="45"/>
  <c r="AX16" i="45"/>
  <c r="AW16" i="45"/>
  <c r="AV16" i="45"/>
  <c r="AU16" i="45"/>
  <c r="AT16" i="45"/>
  <c r="AS16" i="45"/>
  <c r="AR16" i="45"/>
  <c r="G27" i="45"/>
  <c r="AQ16" i="45"/>
  <c r="AP16" i="45"/>
  <c r="AO16" i="45"/>
  <c r="AN16" i="45"/>
  <c r="AM16" i="45"/>
  <c r="AL16" i="45"/>
  <c r="AK16" i="45"/>
  <c r="AJ16" i="45"/>
  <c r="AI16" i="45"/>
  <c r="AH16" i="45"/>
  <c r="AG16" i="45"/>
  <c r="AF16" i="45"/>
  <c r="AE16" i="45"/>
  <c r="AD16" i="45"/>
  <c r="AC16" i="45"/>
  <c r="AB16" i="45"/>
  <c r="F27" i="45" s="1"/>
  <c r="AA16" i="45"/>
  <c r="Z16" i="45"/>
  <c r="Y16" i="45"/>
  <c r="X16" i="45"/>
  <c r="W16" i="45"/>
  <c r="V16" i="45"/>
  <c r="U16" i="45"/>
  <c r="T16" i="45"/>
  <c r="S16" i="45"/>
  <c r="R16" i="45"/>
  <c r="Q16" i="45"/>
  <c r="P16" i="45"/>
  <c r="O16" i="45"/>
  <c r="N16" i="45"/>
  <c r="M16" i="45"/>
  <c r="L16" i="45"/>
  <c r="K16" i="45"/>
  <c r="J16" i="45"/>
  <c r="I16" i="45"/>
  <c r="H16" i="45"/>
  <c r="G16" i="45"/>
  <c r="F16" i="45"/>
  <c r="E16" i="45"/>
  <c r="D16" i="45"/>
  <c r="BP15" i="45"/>
  <c r="BO15" i="45"/>
  <c r="BN15" i="45"/>
  <c r="BM15" i="45"/>
  <c r="BL15" i="45"/>
  <c r="BK15" i="45"/>
  <c r="BJ15" i="45"/>
  <c r="BI15" i="45"/>
  <c r="BH15" i="45"/>
  <c r="BF15" i="45"/>
  <c r="H26" i="45" s="1"/>
  <c r="BG15" i="45"/>
  <c r="BE15" i="45"/>
  <c r="BD15" i="45"/>
  <c r="BC15" i="45"/>
  <c r="BB15" i="45"/>
  <c r="BA15" i="45"/>
  <c r="AZ15" i="45"/>
  <c r="AY15" i="45"/>
  <c r="AX15" i="45"/>
  <c r="AW15" i="45"/>
  <c r="AV15" i="45"/>
  <c r="AU15" i="45"/>
  <c r="AT15" i="45"/>
  <c r="AS15" i="45"/>
  <c r="AR15" i="45"/>
  <c r="AQ15" i="45"/>
  <c r="AP15" i="45"/>
  <c r="AO15" i="45"/>
  <c r="AN15" i="45"/>
  <c r="AM15" i="45"/>
  <c r="AL15" i="45"/>
  <c r="AK15" i="45"/>
  <c r="AJ15" i="45"/>
  <c r="AI15" i="45"/>
  <c r="AH15" i="45"/>
  <c r="AG15" i="45"/>
  <c r="AF15" i="45"/>
  <c r="AE15" i="45"/>
  <c r="AD15" i="45"/>
  <c r="AB15" i="45"/>
  <c r="AC15" i="45"/>
  <c r="F26" i="45"/>
  <c r="AA15" i="45"/>
  <c r="Z15" i="45"/>
  <c r="Y15" i="45"/>
  <c r="X15" i="45"/>
  <c r="W15" i="45"/>
  <c r="V15" i="45"/>
  <c r="U15" i="45"/>
  <c r="T15" i="45"/>
  <c r="S15" i="45"/>
  <c r="R15" i="45"/>
  <c r="Q15" i="45"/>
  <c r="P15" i="45"/>
  <c r="E26" i="45" s="1"/>
  <c r="O15" i="45"/>
  <c r="N15" i="45"/>
  <c r="M15" i="45"/>
  <c r="L15" i="45"/>
  <c r="K15" i="45"/>
  <c r="J15" i="45"/>
  <c r="I15" i="45"/>
  <c r="H15" i="45"/>
  <c r="G15" i="45"/>
  <c r="F15" i="45"/>
  <c r="E15" i="45"/>
  <c r="D15" i="45"/>
  <c r="BP14" i="45"/>
  <c r="BO14" i="45"/>
  <c r="BN14" i="45"/>
  <c r="BM14" i="45"/>
  <c r="BL14" i="45"/>
  <c r="BK14" i="45"/>
  <c r="BJ14" i="45"/>
  <c r="BI14" i="45"/>
  <c r="BH14" i="45"/>
  <c r="BG14" i="45"/>
  <c r="BF14" i="45"/>
  <c r="H25" i="45" s="1"/>
  <c r="BE14" i="45"/>
  <c r="BD14" i="45"/>
  <c r="BC14" i="45"/>
  <c r="BB14" i="45"/>
  <c r="BA14" i="45"/>
  <c r="AZ14" i="45"/>
  <c r="AY14" i="45"/>
  <c r="AX14" i="45"/>
  <c r="AW14" i="45"/>
  <c r="AV14" i="45"/>
  <c r="AU14" i="45"/>
  <c r="AT14" i="45"/>
  <c r="AS14" i="45"/>
  <c r="AR14" i="45"/>
  <c r="G25" i="45"/>
  <c r="AQ14" i="45"/>
  <c r="AP14" i="45"/>
  <c r="AO14" i="45"/>
  <c r="AN14" i="45"/>
  <c r="AM14" i="45"/>
  <c r="AL14" i="45"/>
  <c r="AK14" i="45"/>
  <c r="AJ14" i="45"/>
  <c r="AI14" i="45"/>
  <c r="AH14" i="45"/>
  <c r="AG14" i="45"/>
  <c r="AF14" i="45"/>
  <c r="AE14" i="45"/>
  <c r="AD14" i="45"/>
  <c r="AC14" i="45"/>
  <c r="AB14" i="45"/>
  <c r="AA14" i="45"/>
  <c r="Z14" i="45"/>
  <c r="Y14" i="45"/>
  <c r="X14" i="45"/>
  <c r="W14" i="45"/>
  <c r="V14" i="45"/>
  <c r="U14" i="45"/>
  <c r="T14" i="45"/>
  <c r="S14" i="45"/>
  <c r="R14" i="45"/>
  <c r="Q14" i="45"/>
  <c r="P14" i="45"/>
  <c r="O14" i="45"/>
  <c r="N14" i="45"/>
  <c r="M14" i="45"/>
  <c r="L14" i="45"/>
  <c r="K14" i="45"/>
  <c r="J14" i="45"/>
  <c r="I14" i="45"/>
  <c r="H14" i="45"/>
  <c r="G14" i="45"/>
  <c r="F14" i="45"/>
  <c r="E14" i="45"/>
  <c r="D14" i="45"/>
  <c r="BP13" i="45"/>
  <c r="BO13" i="45"/>
  <c r="BN13" i="45"/>
  <c r="BM13" i="45"/>
  <c r="BL13" i="45"/>
  <c r="BK13" i="45"/>
  <c r="BJ13" i="45"/>
  <c r="BI13" i="45"/>
  <c r="BH13" i="45"/>
  <c r="BF13" i="45"/>
  <c r="BG13" i="45"/>
  <c r="H24" i="45"/>
  <c r="BE13" i="45"/>
  <c r="BD13" i="45"/>
  <c r="BC13" i="45"/>
  <c r="BB13" i="45"/>
  <c r="BA13" i="45"/>
  <c r="AZ13" i="45"/>
  <c r="AY13" i="45"/>
  <c r="AX13" i="45"/>
  <c r="AW13" i="45"/>
  <c r="AV13" i="45"/>
  <c r="AU13" i="45"/>
  <c r="AT13" i="45"/>
  <c r="AS13" i="45"/>
  <c r="AR13" i="45"/>
  <c r="AQ13" i="45"/>
  <c r="AP13" i="45"/>
  <c r="AO13" i="45"/>
  <c r="AN13" i="45"/>
  <c r="AM13" i="45"/>
  <c r="AL13" i="45"/>
  <c r="AK13" i="45"/>
  <c r="AJ13" i="45"/>
  <c r="AI13" i="45"/>
  <c r="AH13" i="45"/>
  <c r="AG13" i="45"/>
  <c r="AF13" i="45"/>
  <c r="AE13" i="45"/>
  <c r="AD13" i="45"/>
  <c r="AC13" i="45"/>
  <c r="AB13" i="45"/>
  <c r="F24" i="45"/>
  <c r="AA13" i="45"/>
  <c r="Z13" i="45"/>
  <c r="Y13" i="45"/>
  <c r="X13" i="45"/>
  <c r="W13" i="45"/>
  <c r="V13" i="45"/>
  <c r="U13" i="45"/>
  <c r="T13" i="45"/>
  <c r="S13" i="45"/>
  <c r="R13" i="45"/>
  <c r="Q13" i="45"/>
  <c r="P13" i="45"/>
  <c r="E24" i="45" s="1"/>
  <c r="O13" i="45"/>
  <c r="N13" i="45"/>
  <c r="M13" i="45"/>
  <c r="L13" i="45"/>
  <c r="K13" i="45"/>
  <c r="J13" i="45"/>
  <c r="I13" i="45"/>
  <c r="H13" i="45"/>
  <c r="G13" i="45"/>
  <c r="F13" i="45"/>
  <c r="E13" i="45"/>
  <c r="D13" i="45"/>
  <c r="BP12" i="45"/>
  <c r="BO12" i="45"/>
  <c r="BN12" i="45"/>
  <c r="BM12" i="45"/>
  <c r="BL12" i="45"/>
  <c r="BK12" i="45"/>
  <c r="BJ12" i="45"/>
  <c r="BI12" i="45"/>
  <c r="BH12" i="45"/>
  <c r="BG12" i="45"/>
  <c r="BF12" i="45"/>
  <c r="BE12" i="45"/>
  <c r="BD12" i="45"/>
  <c r="BC12" i="45"/>
  <c r="BB12" i="45"/>
  <c r="BA12" i="45"/>
  <c r="AZ12" i="45"/>
  <c r="AY12" i="45"/>
  <c r="AX12" i="45"/>
  <c r="AW12" i="45"/>
  <c r="AV12" i="45"/>
  <c r="AU12" i="45"/>
  <c r="AT12" i="45"/>
  <c r="AS12" i="45"/>
  <c r="AR12" i="45"/>
  <c r="G23" i="45"/>
  <c r="AQ12" i="45"/>
  <c r="AP12" i="45"/>
  <c r="AO12" i="45"/>
  <c r="AN12" i="45"/>
  <c r="AM12" i="45"/>
  <c r="AL12" i="45"/>
  <c r="AK12" i="45"/>
  <c r="AJ12" i="45"/>
  <c r="AI12" i="45"/>
  <c r="AH12" i="45"/>
  <c r="AG12" i="45"/>
  <c r="AF12" i="45"/>
  <c r="AE12" i="45"/>
  <c r="AD12" i="45"/>
  <c r="AC12" i="45"/>
  <c r="AB12" i="45"/>
  <c r="F23" i="45" s="1"/>
  <c r="AA12" i="45"/>
  <c r="Z12" i="45"/>
  <c r="Y12" i="45"/>
  <c r="X12" i="45"/>
  <c r="W12" i="45"/>
  <c r="V12" i="45"/>
  <c r="U12" i="45"/>
  <c r="T12" i="45"/>
  <c r="S12" i="45"/>
  <c r="R12" i="45"/>
  <c r="Q12" i="45"/>
  <c r="E23" i="45" s="1"/>
  <c r="P12" i="45"/>
  <c r="O12" i="45"/>
  <c r="N12" i="45"/>
  <c r="M12" i="45"/>
  <c r="L12" i="45"/>
  <c r="K12" i="45"/>
  <c r="J12" i="45"/>
  <c r="I12" i="45"/>
  <c r="H12" i="45"/>
  <c r="G12" i="45"/>
  <c r="F12" i="45"/>
  <c r="D23" i="45" s="1"/>
  <c r="E12" i="45"/>
  <c r="D12" i="45"/>
  <c r="BP11" i="45"/>
  <c r="BO11" i="45"/>
  <c r="BN11" i="45"/>
  <c r="BM11" i="45"/>
  <c r="BL11" i="45"/>
  <c r="BK11" i="45"/>
  <c r="BJ11" i="45"/>
  <c r="BI11" i="45"/>
  <c r="BH11" i="45"/>
  <c r="BG11" i="45"/>
  <c r="BF11" i="45"/>
  <c r="H22" i="45" s="1"/>
  <c r="BE11" i="45"/>
  <c r="BD11" i="45"/>
  <c r="BC11" i="45"/>
  <c r="BB11" i="45"/>
  <c r="BA11" i="45"/>
  <c r="AZ11" i="45"/>
  <c r="AY11" i="45"/>
  <c r="AX11" i="45"/>
  <c r="AW11" i="45"/>
  <c r="AV11" i="45"/>
  <c r="AU11" i="45"/>
  <c r="AT11" i="45"/>
  <c r="AS11" i="45"/>
  <c r="AR11" i="45"/>
  <c r="AQ11" i="45"/>
  <c r="AP11" i="45"/>
  <c r="AO11" i="45"/>
  <c r="AN11" i="45"/>
  <c r="AM11" i="45"/>
  <c r="AL11" i="45"/>
  <c r="AK11" i="45"/>
  <c r="AJ11" i="45"/>
  <c r="AI11" i="45"/>
  <c r="AH11" i="45"/>
  <c r="AG11" i="45"/>
  <c r="AF11" i="45"/>
  <c r="AE11" i="45"/>
  <c r="AD11" i="45"/>
  <c r="AB11" i="45"/>
  <c r="F22" i="45" s="1"/>
  <c r="AC11" i="45"/>
  <c r="AA11" i="45"/>
  <c r="Z11" i="45"/>
  <c r="Y11" i="45"/>
  <c r="X11" i="45"/>
  <c r="W11" i="45"/>
  <c r="V11" i="45"/>
  <c r="U11" i="45"/>
  <c r="T11" i="45"/>
  <c r="S11" i="45"/>
  <c r="R11" i="45"/>
  <c r="Q11" i="45"/>
  <c r="P11" i="45"/>
  <c r="O11" i="45"/>
  <c r="N11" i="45"/>
  <c r="M11" i="45"/>
  <c r="L11" i="45"/>
  <c r="K11" i="45"/>
  <c r="J11" i="45"/>
  <c r="I11" i="45"/>
  <c r="H11" i="45"/>
  <c r="G11" i="45"/>
  <c r="F11" i="45"/>
  <c r="E11" i="45"/>
  <c r="D11" i="45"/>
  <c r="O137" i="44"/>
  <c r="O136" i="44"/>
  <c r="O135" i="44"/>
  <c r="O134" i="44"/>
  <c r="O133" i="44"/>
  <c r="O132" i="44"/>
  <c r="O131" i="44"/>
  <c r="O130" i="44"/>
  <c r="O129" i="44"/>
  <c r="O128" i="44"/>
  <c r="O127" i="44"/>
  <c r="O126" i="44"/>
  <c r="O125" i="44"/>
  <c r="O124" i="44"/>
  <c r="O123" i="44"/>
  <c r="O122" i="44"/>
  <c r="O121" i="44"/>
  <c r="O120" i="44"/>
  <c r="O119" i="44"/>
  <c r="O118" i="44"/>
  <c r="O117" i="44"/>
  <c r="O116" i="44"/>
  <c r="O115" i="44"/>
  <c r="O114" i="44"/>
  <c r="O113" i="44"/>
  <c r="O112" i="44"/>
  <c r="O111" i="44"/>
  <c r="O110" i="44"/>
  <c r="O109" i="44"/>
  <c r="O108" i="44"/>
  <c r="O107" i="44"/>
  <c r="O106" i="44"/>
  <c r="O105" i="44"/>
  <c r="O104" i="44"/>
  <c r="O103" i="44"/>
  <c r="O102" i="44"/>
  <c r="O101" i="44"/>
  <c r="O100" i="44"/>
  <c r="O99" i="44"/>
  <c r="O98" i="44"/>
  <c r="O97" i="44"/>
  <c r="O96" i="44"/>
  <c r="O95" i="44"/>
  <c r="O94" i="44"/>
  <c r="O93" i="44"/>
  <c r="O92" i="44"/>
  <c r="O91" i="44"/>
  <c r="O90" i="44"/>
  <c r="O89" i="44"/>
  <c r="O88" i="44"/>
  <c r="O87" i="44"/>
  <c r="O86" i="44"/>
  <c r="O85" i="44"/>
  <c r="O84" i="44"/>
  <c r="O83" i="44"/>
  <c r="O82" i="44"/>
  <c r="O81" i="44"/>
  <c r="O80" i="44"/>
  <c r="O79" i="44"/>
  <c r="O78" i="44"/>
  <c r="O77" i="44"/>
  <c r="O76" i="44"/>
  <c r="O75" i="44"/>
  <c r="O74" i="44"/>
  <c r="O73" i="44"/>
  <c r="AK71" i="44"/>
  <c r="AJ71" i="44"/>
  <c r="AI71" i="44"/>
  <c r="AH71" i="44"/>
  <c r="AG71" i="44"/>
  <c r="AF71" i="44"/>
  <c r="AE71" i="44"/>
  <c r="AD71" i="44"/>
  <c r="AC71" i="44"/>
  <c r="AB71" i="44"/>
  <c r="AA71" i="44"/>
  <c r="Z71" i="44"/>
  <c r="Y71" i="44"/>
  <c r="X71" i="44"/>
  <c r="W71" i="44"/>
  <c r="V71" i="44"/>
  <c r="U71" i="44"/>
  <c r="T71" i="44"/>
  <c r="G80" i="42"/>
  <c r="G79" i="42"/>
  <c r="G78" i="42"/>
  <c r="G77" i="42"/>
  <c r="G76" i="42"/>
  <c r="G75" i="42"/>
  <c r="G74" i="42"/>
  <c r="G73" i="42"/>
  <c r="G72" i="42"/>
  <c r="G71" i="42"/>
  <c r="G70" i="42"/>
  <c r="F69" i="42"/>
  <c r="F68" i="42"/>
  <c r="F67" i="42"/>
  <c r="F66" i="42"/>
  <c r="F65" i="42"/>
  <c r="F64" i="42"/>
  <c r="F63" i="42"/>
  <c r="F62" i="42"/>
  <c r="F61" i="42"/>
  <c r="F60" i="42"/>
  <c r="AP59" i="42"/>
  <c r="AW59" i="42"/>
  <c r="AY59" i="42" s="1"/>
  <c r="AS59" i="42"/>
  <c r="AT59" i="42" s="1"/>
  <c r="AN59" i="42"/>
  <c r="AG59" i="42"/>
  <c r="X59" i="42"/>
  <c r="P59" i="42"/>
  <c r="F59" i="42"/>
  <c r="AP58" i="42"/>
  <c r="AW58" i="42"/>
  <c r="AY58" i="42" s="1"/>
  <c r="AS58" i="42"/>
  <c r="AT58" i="42" s="1"/>
  <c r="AN58" i="42"/>
  <c r="AG58" i="42"/>
  <c r="X58" i="42"/>
  <c r="P58" i="42"/>
  <c r="F58" i="42"/>
  <c r="CK57" i="42"/>
  <c r="BM57" i="42"/>
  <c r="BH57" i="42"/>
  <c r="BA57" i="42"/>
  <c r="AW57" i="42"/>
  <c r="AY57" i="42"/>
  <c r="AZ57" i="42" s="1"/>
  <c r="AS57" i="42"/>
  <c r="AT57" i="42" s="1"/>
  <c r="AN57" i="42"/>
  <c r="AO57" i="42" s="1"/>
  <c r="AP57" i="42" s="1"/>
  <c r="AJ57" i="42"/>
  <c r="AF57" i="42"/>
  <c r="AH57" i="42" s="1"/>
  <c r="AG57" i="42"/>
  <c r="AB57" i="42"/>
  <c r="AC57" i="42"/>
  <c r="AD57" i="42" s="1"/>
  <c r="AE57" i="42" s="1"/>
  <c r="X57" i="42"/>
  <c r="Q57" i="42"/>
  <c r="P57" i="42"/>
  <c r="J57" i="42"/>
  <c r="I57" i="42"/>
  <c r="F57" i="42"/>
  <c r="CK56" i="42"/>
  <c r="CG56" i="42"/>
  <c r="BQ56" i="42"/>
  <c r="BN56" i="42"/>
  <c r="BM56" i="42"/>
  <c r="BH56" i="42"/>
  <c r="BP56" i="42"/>
  <c r="BA56" i="42"/>
  <c r="AU56" i="42"/>
  <c r="AN56" i="42"/>
  <c r="AO56" i="42"/>
  <c r="AP56" i="42" s="1"/>
  <c r="AS56" i="42"/>
  <c r="AT56" i="42"/>
  <c r="AJ56" i="42"/>
  <c r="AF56" i="42"/>
  <c r="AB56" i="42"/>
  <c r="AC56" i="42" s="1"/>
  <c r="AD56" i="42" s="1"/>
  <c r="X56" i="42"/>
  <c r="Q56" i="42"/>
  <c r="Q47" i="42"/>
  <c r="Q48" i="42"/>
  <c r="Q49" i="42"/>
  <c r="Q50" i="42"/>
  <c r="Q51" i="42"/>
  <c r="Q52" i="42"/>
  <c r="Q53" i="42"/>
  <c r="Q54" i="42"/>
  <c r="Q55" i="42"/>
  <c r="P56" i="42"/>
  <c r="J56" i="42"/>
  <c r="I56" i="42"/>
  <c r="F56" i="42"/>
  <c r="CK55" i="42"/>
  <c r="CG55" i="42"/>
  <c r="BQ55" i="42"/>
  <c r="BR56" i="42" s="1"/>
  <c r="BN55" i="42"/>
  <c r="BM55" i="42"/>
  <c r="BH55" i="42"/>
  <c r="BH54" i="42"/>
  <c r="BH53" i="42"/>
  <c r="BI54" i="42" s="1"/>
  <c r="BI55" i="42"/>
  <c r="AU55" i="42"/>
  <c r="AN55" i="42"/>
  <c r="AO55" i="42" s="1"/>
  <c r="AP55" i="42" s="1"/>
  <c r="BC55" i="42" s="1"/>
  <c r="BA55" i="42"/>
  <c r="AW55" i="42"/>
  <c r="AY55" i="42" s="1"/>
  <c r="AZ55" i="42"/>
  <c r="AS55" i="42"/>
  <c r="AT55" i="42"/>
  <c r="AJ55" i="42"/>
  <c r="AF55" i="42"/>
  <c r="AH55" i="42" s="1"/>
  <c r="AB55" i="42"/>
  <c r="AC55" i="42" s="1"/>
  <c r="AD55" i="42"/>
  <c r="X55" i="42"/>
  <c r="P55" i="42"/>
  <c r="J55" i="42"/>
  <c r="I55" i="42"/>
  <c r="E55" i="42"/>
  <c r="CK54" i="42"/>
  <c r="CG54" i="42"/>
  <c r="BQ53" i="42"/>
  <c r="BR54" i="42" s="1"/>
  <c r="AB54" i="42"/>
  <c r="AC54" i="42" s="1"/>
  <c r="AD54" i="42"/>
  <c r="AE54" i="42" s="1"/>
  <c r="AB53" i="42"/>
  <c r="AC53" i="42"/>
  <c r="AD53" i="42" s="1"/>
  <c r="BQ54" i="42"/>
  <c r="BR55" i="42"/>
  <c r="BS55" i="42" s="1"/>
  <c r="BT55" i="42"/>
  <c r="BN54" i="42"/>
  <c r="BM54" i="42"/>
  <c r="BQ52" i="42"/>
  <c r="BR53" i="42"/>
  <c r="BS53" i="42" s="1"/>
  <c r="BT53" i="42" s="1"/>
  <c r="BA54" i="42"/>
  <c r="AU54" i="42"/>
  <c r="AS54" i="42"/>
  <c r="AT54" i="42"/>
  <c r="AN54" i="42"/>
  <c r="AO54" i="42"/>
  <c r="AP54" i="42" s="1"/>
  <c r="AQ54" i="42" s="1"/>
  <c r="AJ54" i="42"/>
  <c r="AF54" i="42"/>
  <c r="X54" i="42"/>
  <c r="P54" i="42"/>
  <c r="J54" i="42"/>
  <c r="I54" i="42"/>
  <c r="E54" i="42"/>
  <c r="CK53" i="42"/>
  <c r="CG53" i="42"/>
  <c r="BZ53" i="42"/>
  <c r="BN53" i="42"/>
  <c r="BM53" i="42"/>
  <c r="BQ51" i="42"/>
  <c r="AB52" i="42"/>
  <c r="AC52" i="42" s="1"/>
  <c r="AD52" i="42" s="1"/>
  <c r="BH52" i="42"/>
  <c r="BI52" i="42" s="1"/>
  <c r="BI53" i="42"/>
  <c r="BA53" i="42"/>
  <c r="AU53" i="42"/>
  <c r="AS53" i="42"/>
  <c r="AT53" i="42"/>
  <c r="AN53" i="42"/>
  <c r="AO53" i="42"/>
  <c r="AP53" i="42" s="1"/>
  <c r="AQ53" i="42" s="1"/>
  <c r="AJ53" i="42"/>
  <c r="AF53" i="42"/>
  <c r="X53" i="42"/>
  <c r="P53" i="42"/>
  <c r="J53" i="42"/>
  <c r="I53" i="42"/>
  <c r="E53" i="42"/>
  <c r="CK52" i="42"/>
  <c r="CG52" i="42"/>
  <c r="BZ52" i="42"/>
  <c r="BN52" i="42"/>
  <c r="BM52" i="42"/>
  <c r="BQ50" i="42"/>
  <c r="BR51" i="42" s="1"/>
  <c r="AB51" i="42"/>
  <c r="AC51" i="42" s="1"/>
  <c r="AD51" i="42" s="1"/>
  <c r="BH51" i="42"/>
  <c r="BH50" i="42"/>
  <c r="BI51" i="42"/>
  <c r="BA52" i="42"/>
  <c r="AU52" i="42"/>
  <c r="AS52" i="42"/>
  <c r="AT52" i="42" s="1"/>
  <c r="AN52" i="42"/>
  <c r="AO52" i="42" s="1"/>
  <c r="AP52" i="42"/>
  <c r="AQ52" i="42" s="1"/>
  <c r="AJ52" i="42"/>
  <c r="AF52" i="42"/>
  <c r="AG52" i="42" s="1"/>
  <c r="AH52" i="42"/>
  <c r="X52" i="42"/>
  <c r="P52" i="42"/>
  <c r="J52" i="42"/>
  <c r="I52" i="42"/>
  <c r="E52" i="42"/>
  <c r="CK51" i="42"/>
  <c r="CG51" i="42"/>
  <c r="BZ51" i="42"/>
  <c r="BN51" i="42"/>
  <c r="BM51" i="42"/>
  <c r="BR50" i="42" s="1"/>
  <c r="BQ49" i="42"/>
  <c r="AB50" i="42"/>
  <c r="BS50" i="42"/>
  <c r="BT50" i="42" s="1"/>
  <c r="BA51" i="42"/>
  <c r="AU51" i="42"/>
  <c r="AS51" i="42"/>
  <c r="AT51" i="42" s="1"/>
  <c r="AN51" i="42"/>
  <c r="AO51" i="42" s="1"/>
  <c r="AP51" i="42" s="1"/>
  <c r="AQ51" i="42" s="1"/>
  <c r="AJ51" i="42"/>
  <c r="AF51" i="42"/>
  <c r="AG51" i="42" s="1"/>
  <c r="AH51" i="42"/>
  <c r="X51" i="42"/>
  <c r="P51" i="42"/>
  <c r="J51" i="42"/>
  <c r="I51" i="42"/>
  <c r="E51" i="42"/>
  <c r="CK50" i="42"/>
  <c r="CG50" i="42"/>
  <c r="BZ50" i="42"/>
  <c r="BN50" i="42"/>
  <c r="BM50" i="42"/>
  <c r="BQ48" i="42"/>
  <c r="BR49" i="42" s="1"/>
  <c r="BS49" i="42" s="1"/>
  <c r="BT49" i="42" s="1"/>
  <c r="AB49" i="42"/>
  <c r="AC49" i="42" s="1"/>
  <c r="AD49" i="42" s="1"/>
  <c r="BA50" i="42"/>
  <c r="AU50" i="42"/>
  <c r="AS50" i="42"/>
  <c r="AT50" i="42"/>
  <c r="AN50" i="42"/>
  <c r="AO50" i="42"/>
  <c r="AP50" i="42" s="1"/>
  <c r="AQ50" i="42"/>
  <c r="AJ50" i="42"/>
  <c r="AF50" i="42"/>
  <c r="AC50" i="42"/>
  <c r="AD50" i="42"/>
  <c r="AE50" i="42" s="1"/>
  <c r="X50" i="42"/>
  <c r="P50" i="42"/>
  <c r="J50" i="42"/>
  <c r="I50" i="42"/>
  <c r="E50" i="42"/>
  <c r="CK49" i="42"/>
  <c r="CG49" i="42"/>
  <c r="BZ49" i="42"/>
  <c r="BN49" i="42"/>
  <c r="BM49" i="42"/>
  <c r="BH49" i="42"/>
  <c r="BA49" i="42"/>
  <c r="AU49" i="42"/>
  <c r="AS49" i="42"/>
  <c r="AT49" i="42" s="1"/>
  <c r="AN49" i="42"/>
  <c r="AO49" i="42" s="1"/>
  <c r="AP49" i="42" s="1"/>
  <c r="AQ49" i="42" s="1"/>
  <c r="AJ49" i="42"/>
  <c r="AF49" i="42"/>
  <c r="AG49" i="42"/>
  <c r="AH49" i="42"/>
  <c r="X49" i="42"/>
  <c r="P49" i="42"/>
  <c r="J49" i="42"/>
  <c r="I49" i="42"/>
  <c r="E49" i="42"/>
  <c r="CK48" i="42"/>
  <c r="CG48" i="42"/>
  <c r="BZ48" i="42"/>
  <c r="BQ47" i="42"/>
  <c r="BR48" i="42"/>
  <c r="AB48" i="42"/>
  <c r="AC48" i="42" s="1"/>
  <c r="AD48" i="42" s="1"/>
  <c r="BS48" i="42"/>
  <c r="BT48" i="42" s="1"/>
  <c r="BN48" i="42"/>
  <c r="BM48" i="42"/>
  <c r="BH48" i="42"/>
  <c r="BA48" i="42"/>
  <c r="AU48" i="42"/>
  <c r="AN48" i="42"/>
  <c r="AO48" i="42" s="1"/>
  <c r="AP48" i="42" s="1"/>
  <c r="AS48" i="42"/>
  <c r="AT48" i="42"/>
  <c r="AJ48" i="42"/>
  <c r="AF48" i="42"/>
  <c r="AH48" i="42" s="1"/>
  <c r="AG48" i="42"/>
  <c r="AB47" i="42"/>
  <c r="AC47" i="42"/>
  <c r="AD47" i="42" s="1"/>
  <c r="X48" i="42"/>
  <c r="P48" i="42"/>
  <c r="J48" i="42"/>
  <c r="N47" i="42" s="1"/>
  <c r="J47" i="42"/>
  <c r="I48" i="42"/>
  <c r="E48" i="42"/>
  <c r="CK47" i="42"/>
  <c r="CG47" i="42"/>
  <c r="BZ47" i="42"/>
  <c r="BQ46" i="42"/>
  <c r="BR47" i="42" s="1"/>
  <c r="BS47" i="42" s="1"/>
  <c r="BT47" i="42" s="1"/>
  <c r="BN47" i="42"/>
  <c r="BM47" i="42"/>
  <c r="BH47" i="42"/>
  <c r="BH46" i="42"/>
  <c r="BI47" i="42"/>
  <c r="AU47" i="42"/>
  <c r="AN47" i="42"/>
  <c r="AO47" i="42" s="1"/>
  <c r="AP47" i="42"/>
  <c r="BA47" i="42"/>
  <c r="AW47" i="42"/>
  <c r="AY47" i="42" s="1"/>
  <c r="AZ47" i="42" s="1"/>
  <c r="AS47" i="42"/>
  <c r="AT47" i="42"/>
  <c r="AJ47" i="42"/>
  <c r="AF47" i="42"/>
  <c r="X47" i="42"/>
  <c r="P47" i="42"/>
  <c r="I47" i="42"/>
  <c r="E47" i="42"/>
  <c r="CK46" i="42"/>
  <c r="CG46" i="42"/>
  <c r="BZ46" i="42"/>
  <c r="BQ45" i="42"/>
  <c r="BR46" i="42"/>
  <c r="BS46" i="42" s="1"/>
  <c r="BT46" i="42" s="1"/>
  <c r="AB46" i="42"/>
  <c r="BN46" i="42"/>
  <c r="BM46" i="42"/>
  <c r="BA46" i="42"/>
  <c r="AU46" i="42"/>
  <c r="AW46" i="42"/>
  <c r="AY46" i="42" s="1"/>
  <c r="AZ46" i="42" s="1"/>
  <c r="AN46" i="42"/>
  <c r="AO46" i="42"/>
  <c r="AP46" i="42" s="1"/>
  <c r="AS46" i="42"/>
  <c r="AT46" i="42"/>
  <c r="AJ46" i="42"/>
  <c r="AF46" i="42"/>
  <c r="AG46" i="42" s="1"/>
  <c r="AH46" i="42"/>
  <c r="AC46" i="42"/>
  <c r="AD46" i="42" s="1"/>
  <c r="X46" i="42"/>
  <c r="Q34" i="42"/>
  <c r="Q35" i="42"/>
  <c r="Q36" i="42"/>
  <c r="Q37" i="42"/>
  <c r="Q38" i="42"/>
  <c r="Q39" i="42"/>
  <c r="Q40" i="42"/>
  <c r="Q41" i="42"/>
  <c r="Q42" i="42"/>
  <c r="Q43" i="42"/>
  <c r="Q44" i="42"/>
  <c r="Q45" i="42"/>
  <c r="Q46" i="42"/>
  <c r="P46" i="42"/>
  <c r="J46" i="42"/>
  <c r="I46" i="42"/>
  <c r="E46" i="42"/>
  <c r="CK45" i="42"/>
  <c r="CG45" i="42"/>
  <c r="BZ45" i="42"/>
  <c r="BQ44" i="42"/>
  <c r="BR45" i="42"/>
  <c r="AB45" i="42"/>
  <c r="BN45" i="42"/>
  <c r="BP45" i="42" s="1"/>
  <c r="BM45" i="42"/>
  <c r="BQ43" i="42"/>
  <c r="BR44" i="42" s="1"/>
  <c r="BS44" i="42" s="1"/>
  <c r="BT44" i="42" s="1"/>
  <c r="AB44" i="42"/>
  <c r="BH45" i="42"/>
  <c r="BI45" i="42" s="1"/>
  <c r="BH44" i="42"/>
  <c r="BI44" i="42" s="1"/>
  <c r="BA45" i="42"/>
  <c r="AU45" i="42"/>
  <c r="AW45" i="42"/>
  <c r="AY45" i="42" s="1"/>
  <c r="AZ45" i="42" s="1"/>
  <c r="AN45" i="42"/>
  <c r="AO45" i="42"/>
  <c r="AP45" i="42" s="1"/>
  <c r="AQ45" i="42" s="1"/>
  <c r="AS45" i="42"/>
  <c r="AT45" i="42"/>
  <c r="AJ45" i="42"/>
  <c r="AF45" i="42"/>
  <c r="AG45" i="42" s="1"/>
  <c r="AH45" i="42"/>
  <c r="X45" i="42"/>
  <c r="P45" i="42"/>
  <c r="J45" i="42"/>
  <c r="I45" i="42"/>
  <c r="E45" i="42"/>
  <c r="CK44" i="42"/>
  <c r="CG44" i="42"/>
  <c r="BZ44" i="42"/>
  <c r="BN44" i="42"/>
  <c r="BM44" i="42"/>
  <c r="BA44" i="42"/>
  <c r="AU44" i="42"/>
  <c r="BC44" i="42" s="1"/>
  <c r="AN44" i="42"/>
  <c r="AO44" i="42"/>
  <c r="AP44" i="42" s="1"/>
  <c r="AQ44" i="42" s="1"/>
  <c r="AS44" i="42"/>
  <c r="AT44" i="42"/>
  <c r="AJ44" i="42"/>
  <c r="AF44" i="42"/>
  <c r="AH44" i="42"/>
  <c r="AG44" i="42"/>
  <c r="AC44" i="42"/>
  <c r="AD44" i="42" s="1"/>
  <c r="AB43" i="42"/>
  <c r="AC43" i="42" s="1"/>
  <c r="AD43" i="42"/>
  <c r="AE43" i="42" s="1"/>
  <c r="AB42" i="42"/>
  <c r="AC42" i="42" s="1"/>
  <c r="AD42" i="42"/>
  <c r="X44" i="42"/>
  <c r="P44" i="42"/>
  <c r="J44" i="42"/>
  <c r="I44" i="42"/>
  <c r="E44" i="42"/>
  <c r="CK43" i="42"/>
  <c r="CG43" i="42"/>
  <c r="BZ43" i="42"/>
  <c r="BQ42" i="42"/>
  <c r="BN43" i="42"/>
  <c r="BM43" i="42"/>
  <c r="BH43" i="42"/>
  <c r="AU43" i="42"/>
  <c r="AW43" i="42" s="1"/>
  <c r="AY43" i="42" s="1"/>
  <c r="AZ43" i="42" s="1"/>
  <c r="AN43" i="42"/>
  <c r="AO43" i="42"/>
  <c r="AP43" i="42" s="1"/>
  <c r="AQ43" i="42"/>
  <c r="BA43" i="42"/>
  <c r="AS43" i="42"/>
  <c r="AT43" i="42"/>
  <c r="AJ43" i="42"/>
  <c r="AF43" i="42"/>
  <c r="X43" i="42"/>
  <c r="S43" i="42"/>
  <c r="P43" i="42"/>
  <c r="J43" i="42"/>
  <c r="I43" i="42"/>
  <c r="E43" i="42"/>
  <c r="CK42" i="42"/>
  <c r="CG42" i="42"/>
  <c r="BZ42" i="42"/>
  <c r="BQ41" i="42"/>
  <c r="BR42" i="42" s="1"/>
  <c r="BS42" i="42" s="1"/>
  <c r="BT42" i="42" s="1"/>
  <c r="BN42" i="42"/>
  <c r="BM42" i="42"/>
  <c r="BH42" i="42"/>
  <c r="BI42" i="42" s="1"/>
  <c r="BH41" i="42"/>
  <c r="BA42" i="42"/>
  <c r="AU42" i="42"/>
  <c r="AW42" i="42"/>
  <c r="AY42" i="42" s="1"/>
  <c r="AZ42" i="42"/>
  <c r="AN42" i="42"/>
  <c r="AO42" i="42"/>
  <c r="AP42" i="42" s="1"/>
  <c r="AQ42" i="42" s="1"/>
  <c r="AS42" i="42"/>
  <c r="AT42" i="42"/>
  <c r="AJ42" i="42"/>
  <c r="AF42" i="42"/>
  <c r="AH42" i="42" s="1"/>
  <c r="AG42" i="42"/>
  <c r="X42" i="42"/>
  <c r="P42" i="42"/>
  <c r="J42" i="42"/>
  <c r="I42" i="42"/>
  <c r="E42" i="42"/>
  <c r="CK41" i="42"/>
  <c r="CG41" i="42"/>
  <c r="BZ41" i="42"/>
  <c r="BQ40" i="42"/>
  <c r="BR41" i="42"/>
  <c r="BS41" i="42" s="1"/>
  <c r="BT41" i="42" s="1"/>
  <c r="AB41" i="42"/>
  <c r="AC41" i="42"/>
  <c r="BN41" i="42"/>
  <c r="BM41" i="42"/>
  <c r="BR40" i="42" s="1"/>
  <c r="BS40" i="42" s="1"/>
  <c r="BT40" i="42" s="1"/>
  <c r="BQ39" i="42"/>
  <c r="AB40" i="42"/>
  <c r="BH40" i="42"/>
  <c r="BI41" i="42" s="1"/>
  <c r="BA41" i="42"/>
  <c r="AU41" i="42"/>
  <c r="AN41" i="42"/>
  <c r="AO41" i="42" s="1"/>
  <c r="AP41" i="42"/>
  <c r="AW41" i="42"/>
  <c r="AY41" i="42" s="1"/>
  <c r="AZ41" i="42"/>
  <c r="AS41" i="42"/>
  <c r="AT41" i="42" s="1"/>
  <c r="AJ41" i="42"/>
  <c r="AF41" i="42"/>
  <c r="AG41" i="42"/>
  <c r="AH41" i="42"/>
  <c r="AD41" i="42"/>
  <c r="X41" i="42"/>
  <c r="P41" i="42"/>
  <c r="J41" i="42"/>
  <c r="I41" i="42"/>
  <c r="E41" i="42"/>
  <c r="CK40" i="42"/>
  <c r="CG40" i="42"/>
  <c r="BZ40" i="42"/>
  <c r="AC40" i="42"/>
  <c r="AD40" i="42" s="1"/>
  <c r="BN40" i="42"/>
  <c r="BM40" i="42"/>
  <c r="BA40" i="42"/>
  <c r="AU40" i="42"/>
  <c r="AN40" i="42"/>
  <c r="AO40" i="42" s="1"/>
  <c r="AP40" i="42" s="1"/>
  <c r="AS40" i="42"/>
  <c r="AT40" i="42" s="1"/>
  <c r="AJ40" i="42"/>
  <c r="AF40" i="42"/>
  <c r="AH40" i="42" s="1"/>
  <c r="AG40" i="42"/>
  <c r="AB39" i="42"/>
  <c r="AC39" i="42"/>
  <c r="AD39" i="42" s="1"/>
  <c r="AE39" i="42" s="1"/>
  <c r="X40" i="42"/>
  <c r="P40" i="42"/>
  <c r="J40" i="42"/>
  <c r="I40" i="42"/>
  <c r="E40" i="42"/>
  <c r="CK39" i="42"/>
  <c r="CG39" i="42"/>
  <c r="BZ39" i="42"/>
  <c r="BQ38" i="42"/>
  <c r="BR39" i="42"/>
  <c r="BS39" i="42" s="1"/>
  <c r="BT39" i="42" s="1"/>
  <c r="BN39" i="42"/>
  <c r="BM39" i="42"/>
  <c r="BH39" i="42"/>
  <c r="AU39" i="42"/>
  <c r="AN39" i="42"/>
  <c r="AO39" i="42" s="1"/>
  <c r="AP39" i="42"/>
  <c r="AQ39" i="42" s="1"/>
  <c r="BA39" i="42"/>
  <c r="AS39" i="42"/>
  <c r="AT39" i="42"/>
  <c r="AJ39" i="42"/>
  <c r="AF39" i="42"/>
  <c r="X39" i="42"/>
  <c r="P39" i="42"/>
  <c r="J39" i="42"/>
  <c r="I39" i="42"/>
  <c r="D39" i="42"/>
  <c r="CK38" i="42"/>
  <c r="CG38" i="42"/>
  <c r="BZ38" i="42"/>
  <c r="BQ37" i="42"/>
  <c r="BR38" i="42"/>
  <c r="BS38" i="42" s="1"/>
  <c r="BT38" i="42" s="1"/>
  <c r="AB38" i="42"/>
  <c r="BN38" i="42"/>
  <c r="BM38" i="42"/>
  <c r="BH38" i="42"/>
  <c r="BH37" i="42"/>
  <c r="BH36" i="42"/>
  <c r="BI37" i="42" s="1"/>
  <c r="BA38" i="42"/>
  <c r="AU38" i="42"/>
  <c r="AW38" i="42"/>
  <c r="AY38" i="42" s="1"/>
  <c r="AZ38" i="42"/>
  <c r="AN38" i="42"/>
  <c r="AO38" i="42"/>
  <c r="AP38" i="42" s="1"/>
  <c r="AQ38" i="42" s="1"/>
  <c r="AS38" i="42"/>
  <c r="AT38" i="42"/>
  <c r="AJ38" i="42"/>
  <c r="AF38" i="42"/>
  <c r="AG38" i="42" s="1"/>
  <c r="AH38" i="42"/>
  <c r="AC38" i="42"/>
  <c r="AD38" i="42"/>
  <c r="AB37" i="42"/>
  <c r="AC37" i="42"/>
  <c r="AD37" i="42" s="1"/>
  <c r="AE37" i="42" s="1"/>
  <c r="X38" i="42"/>
  <c r="P38" i="42"/>
  <c r="J38" i="42"/>
  <c r="I38" i="42"/>
  <c r="D38" i="42"/>
  <c r="CK37" i="42"/>
  <c r="CG37" i="42"/>
  <c r="BZ37" i="42"/>
  <c r="BQ36" i="42"/>
  <c r="BR37" i="42"/>
  <c r="BS37" i="42" s="1"/>
  <c r="BT37" i="42"/>
  <c r="BN37" i="42"/>
  <c r="BM37" i="42"/>
  <c r="BH35" i="42"/>
  <c r="BA37" i="42"/>
  <c r="AU37" i="42"/>
  <c r="AW37" i="42" s="1"/>
  <c r="AY37" i="42" s="1"/>
  <c r="AZ37" i="42" s="1"/>
  <c r="AN37" i="42"/>
  <c r="AO37" i="42" s="1"/>
  <c r="AP37" i="42" s="1"/>
  <c r="AQ37" i="42" s="1"/>
  <c r="AS37" i="42"/>
  <c r="AT37" i="42"/>
  <c r="AJ37" i="42"/>
  <c r="AF37" i="42"/>
  <c r="AH37" i="42"/>
  <c r="AG37" i="42"/>
  <c r="X37" i="42"/>
  <c r="P37" i="42"/>
  <c r="J37" i="42"/>
  <c r="I37" i="42"/>
  <c r="D37" i="42"/>
  <c r="CK36" i="42"/>
  <c r="CG36" i="42"/>
  <c r="BZ36" i="42"/>
  <c r="BQ35" i="42"/>
  <c r="BR36" i="42" s="1"/>
  <c r="AB36" i="42"/>
  <c r="AC36" i="42" s="1"/>
  <c r="BN36" i="42"/>
  <c r="BM36" i="42"/>
  <c r="BA36" i="42"/>
  <c r="AU36" i="42"/>
  <c r="AS36" i="42"/>
  <c r="AT36" i="42"/>
  <c r="AN36" i="42"/>
  <c r="AO36" i="42"/>
  <c r="AP36" i="42" s="1"/>
  <c r="AQ36" i="42"/>
  <c r="AJ36" i="42"/>
  <c r="AF36" i="42"/>
  <c r="AD36" i="42"/>
  <c r="X36" i="42"/>
  <c r="P36" i="42"/>
  <c r="J36" i="42"/>
  <c r="J33" i="42"/>
  <c r="J34" i="42"/>
  <c r="J35" i="42"/>
  <c r="I36" i="42"/>
  <c r="D36" i="42"/>
  <c r="CK35" i="42"/>
  <c r="CG35" i="42"/>
  <c r="BZ35" i="42"/>
  <c r="BQ34" i="42"/>
  <c r="BR35" i="42"/>
  <c r="AB35" i="42"/>
  <c r="BS35" i="42"/>
  <c r="BT35" i="42" s="1"/>
  <c r="BN35" i="42"/>
  <c r="BM35" i="42"/>
  <c r="BH34" i="42"/>
  <c r="AU35" i="42"/>
  <c r="AW35" i="42" s="1"/>
  <c r="AN35" i="42"/>
  <c r="AO35" i="42" s="1"/>
  <c r="AP35" i="42" s="1"/>
  <c r="BA35" i="42"/>
  <c r="AY35" i="42"/>
  <c r="AZ35" i="42" s="1"/>
  <c r="AS35" i="42"/>
  <c r="AT35" i="42" s="1"/>
  <c r="AJ35" i="42"/>
  <c r="AF35" i="42"/>
  <c r="AH35" i="42"/>
  <c r="AG35" i="42"/>
  <c r="AC35" i="42"/>
  <c r="AD35" i="42" s="1"/>
  <c r="AB34" i="42"/>
  <c r="AC34" i="42" s="1"/>
  <c r="AD34" i="42" s="1"/>
  <c r="X35" i="42"/>
  <c r="P35" i="42"/>
  <c r="I35" i="42"/>
  <c r="D35" i="42"/>
  <c r="CK34" i="42"/>
  <c r="CG34" i="42"/>
  <c r="BZ34" i="42"/>
  <c r="BQ33" i="42"/>
  <c r="BR34" i="42" s="1"/>
  <c r="BN34" i="42"/>
  <c r="BM34" i="42"/>
  <c r="BA34" i="42"/>
  <c r="AU34" i="42"/>
  <c r="AW34" i="42" s="1"/>
  <c r="AY34" i="42"/>
  <c r="AZ34" i="42" s="1"/>
  <c r="AN34" i="42"/>
  <c r="AO34" i="42" s="1"/>
  <c r="AP34" i="42"/>
  <c r="AQ34" i="42" s="1"/>
  <c r="AS34" i="42"/>
  <c r="AT34" i="42" s="1"/>
  <c r="AJ34" i="42"/>
  <c r="AF34" i="42"/>
  <c r="AG34" i="42" s="1"/>
  <c r="AH34" i="42"/>
  <c r="AB33" i="42"/>
  <c r="AC33" i="42" s="1"/>
  <c r="AD33" i="42"/>
  <c r="X34" i="42"/>
  <c r="P34" i="42"/>
  <c r="I34" i="42"/>
  <c r="D34" i="42"/>
  <c r="CK33" i="42"/>
  <c r="CG33" i="42"/>
  <c r="BZ33" i="42"/>
  <c r="BY33" i="42"/>
  <c r="BX33" i="42"/>
  <c r="BN33" i="42"/>
  <c r="BM33" i="42"/>
  <c r="BH33" i="42"/>
  <c r="BH32" i="42"/>
  <c r="BI33" i="42" s="1"/>
  <c r="BA33" i="42"/>
  <c r="AU33" i="42"/>
  <c r="AN33" i="42"/>
  <c r="AO33" i="42" s="1"/>
  <c r="AP33" i="42"/>
  <c r="AS33" i="42"/>
  <c r="AT33" i="42" s="1"/>
  <c r="AJ33" i="42"/>
  <c r="AF33" i="42"/>
  <c r="X33" i="42"/>
  <c r="Q33" i="42"/>
  <c r="P33" i="42"/>
  <c r="I33" i="42"/>
  <c r="D33" i="42"/>
  <c r="CK32" i="42"/>
  <c r="CG32" i="42"/>
  <c r="BZ32" i="42"/>
  <c r="BY32" i="42"/>
  <c r="BX32" i="42"/>
  <c r="BQ32" i="42"/>
  <c r="BR33" i="42"/>
  <c r="BS33" i="42" s="1"/>
  <c r="BT33" i="42"/>
  <c r="BN32" i="42"/>
  <c r="BM32" i="42"/>
  <c r="BP31" i="42" s="1"/>
  <c r="AU32" i="42"/>
  <c r="AN32" i="42"/>
  <c r="AO32" i="42" s="1"/>
  <c r="AP32" i="42" s="1"/>
  <c r="BC32" i="42" s="1"/>
  <c r="BA32" i="42"/>
  <c r="AW32" i="42"/>
  <c r="AY32" i="42"/>
  <c r="AZ32" i="42" s="1"/>
  <c r="AS32" i="42"/>
  <c r="AT32" i="42" s="1"/>
  <c r="AJ32" i="42"/>
  <c r="AF32" i="42"/>
  <c r="AH32" i="42" s="1"/>
  <c r="AB32" i="42"/>
  <c r="AC32" i="42"/>
  <c r="AD32" i="42" s="1"/>
  <c r="AB31" i="42"/>
  <c r="AC31" i="42" s="1"/>
  <c r="AD31" i="42" s="1"/>
  <c r="AE31" i="42" s="1"/>
  <c r="X32" i="42"/>
  <c r="Q32" i="42"/>
  <c r="P32" i="42"/>
  <c r="J32" i="42"/>
  <c r="I32" i="42"/>
  <c r="D32" i="42"/>
  <c r="CK31" i="42"/>
  <c r="CG31" i="42"/>
  <c r="BZ31" i="42"/>
  <c r="BY31" i="42"/>
  <c r="BX31" i="42"/>
  <c r="BQ31" i="42"/>
  <c r="BR32" i="42"/>
  <c r="BS32" i="42" s="1"/>
  <c r="BT32" i="42" s="1"/>
  <c r="BN31" i="42"/>
  <c r="BM31" i="42"/>
  <c r="BQ29" i="42"/>
  <c r="BR30" i="42"/>
  <c r="BH31" i="42"/>
  <c r="BI31" i="42" s="1"/>
  <c r="BH30" i="42"/>
  <c r="BA31" i="42"/>
  <c r="AU31" i="42"/>
  <c r="AS31" i="42"/>
  <c r="AT31" i="42"/>
  <c r="AN31" i="42"/>
  <c r="AO31" i="42"/>
  <c r="AP31" i="42" s="1"/>
  <c r="AQ31" i="42" s="1"/>
  <c r="AJ31" i="42"/>
  <c r="AF31" i="42"/>
  <c r="X31" i="42"/>
  <c r="Q31" i="42"/>
  <c r="P31" i="42"/>
  <c r="J31" i="42"/>
  <c r="I31" i="42"/>
  <c r="D31" i="42"/>
  <c r="CK30" i="42"/>
  <c r="CG30" i="42"/>
  <c r="BZ30" i="42"/>
  <c r="BY30" i="42"/>
  <c r="BX30" i="42"/>
  <c r="BQ30" i="42"/>
  <c r="BN30" i="42"/>
  <c r="BM30" i="42"/>
  <c r="AU30" i="42"/>
  <c r="AW30" i="42" s="1"/>
  <c r="AY30" i="42"/>
  <c r="AZ30" i="42" s="1"/>
  <c r="AN30" i="42"/>
  <c r="AO30" i="42" s="1"/>
  <c r="AP30" i="42"/>
  <c r="BA30" i="42"/>
  <c r="AS30" i="42"/>
  <c r="AT30" i="42" s="1"/>
  <c r="AJ30" i="42"/>
  <c r="AF30" i="42"/>
  <c r="AG30" i="42" s="1"/>
  <c r="AH30" i="42"/>
  <c r="AB30" i="42"/>
  <c r="AC30" i="42" s="1"/>
  <c r="AD30" i="42"/>
  <c r="X30" i="42"/>
  <c r="Q30" i="42"/>
  <c r="P30" i="42"/>
  <c r="J30" i="42"/>
  <c r="I30" i="42"/>
  <c r="D30" i="42"/>
  <c r="CK29" i="42"/>
  <c r="CG29" i="42"/>
  <c r="BZ29" i="42"/>
  <c r="BY29" i="42"/>
  <c r="BX29" i="42"/>
  <c r="BS30" i="42"/>
  <c r="BT30" i="42" s="1"/>
  <c r="BN29" i="42"/>
  <c r="BM29" i="42"/>
  <c r="BH28" i="42"/>
  <c r="BN28" i="42"/>
  <c r="BP28" i="42"/>
  <c r="BH29" i="42"/>
  <c r="BI29" i="42"/>
  <c r="BA29" i="42"/>
  <c r="AU29" i="42"/>
  <c r="AS29" i="42"/>
  <c r="AT29" i="42"/>
  <c r="AN29" i="42"/>
  <c r="AO29" i="42"/>
  <c r="AP29" i="42" s="1"/>
  <c r="AQ29" i="42"/>
  <c r="AJ29" i="42"/>
  <c r="AF29" i="42"/>
  <c r="AB29" i="42"/>
  <c r="AC29" i="42"/>
  <c r="AD29" i="42" s="1"/>
  <c r="X29" i="42"/>
  <c r="Q29" i="42"/>
  <c r="P29" i="42"/>
  <c r="J29" i="42"/>
  <c r="I29" i="42"/>
  <c r="D29" i="42"/>
  <c r="EO28" i="42"/>
  <c r="EN28" i="42"/>
  <c r="EM28" i="42"/>
  <c r="EL28" i="42"/>
  <c r="CK28" i="42"/>
  <c r="CG28" i="42"/>
  <c r="BZ28" i="42"/>
  <c r="BY28" i="42"/>
  <c r="BX28" i="42"/>
  <c r="BQ27" i="42"/>
  <c r="AB28" i="42"/>
  <c r="AC28" i="42" s="1"/>
  <c r="AD28" i="42" s="1"/>
  <c r="AE28" i="42" s="1"/>
  <c r="BQ28" i="42"/>
  <c r="BR29" i="42" s="1"/>
  <c r="BS29" i="42"/>
  <c r="BT29" i="42" s="1"/>
  <c r="BM28" i="42"/>
  <c r="BA28" i="42"/>
  <c r="AU28" i="42"/>
  <c r="AW28" i="42" s="1"/>
  <c r="AY28" i="42"/>
  <c r="AZ28" i="42" s="1"/>
  <c r="AS28" i="42"/>
  <c r="AT28" i="42" s="1"/>
  <c r="AN28" i="42"/>
  <c r="AO28" i="42" s="1"/>
  <c r="AP28" i="42" s="1"/>
  <c r="AJ28" i="42"/>
  <c r="AF28" i="42"/>
  <c r="AH28" i="42" s="1"/>
  <c r="AG28" i="42"/>
  <c r="AB27" i="42"/>
  <c r="AC27" i="42"/>
  <c r="AD27" i="42" s="1"/>
  <c r="X28" i="42"/>
  <c r="Q17" i="42"/>
  <c r="Q18" i="42"/>
  <c r="Q19" i="42"/>
  <c r="Q20" i="42"/>
  <c r="Q21" i="42"/>
  <c r="Q22" i="42"/>
  <c r="Q23" i="42"/>
  <c r="Q24" i="42"/>
  <c r="Q25" i="42"/>
  <c r="Q26" i="42"/>
  <c r="Q27" i="42"/>
  <c r="Q28" i="42"/>
  <c r="P28" i="42"/>
  <c r="J28" i="42"/>
  <c r="I28" i="42"/>
  <c r="D28" i="42"/>
  <c r="CK27" i="42"/>
  <c r="CG27" i="42"/>
  <c r="BZ27" i="42"/>
  <c r="BY27" i="42"/>
  <c r="BX27" i="42"/>
  <c r="BH27" i="42"/>
  <c r="BN27" i="42"/>
  <c r="BM27" i="42"/>
  <c r="BA27" i="42"/>
  <c r="AU27" i="42"/>
  <c r="AS27" i="42"/>
  <c r="AT27" i="42" s="1"/>
  <c r="AN27" i="42"/>
  <c r="AO27" i="42" s="1"/>
  <c r="AP27" i="42"/>
  <c r="AQ27" i="42" s="1"/>
  <c r="AJ27" i="42"/>
  <c r="AF27" i="42"/>
  <c r="X27" i="42"/>
  <c r="P27" i="42"/>
  <c r="J27" i="42"/>
  <c r="I27" i="42"/>
  <c r="D27" i="42"/>
  <c r="CK26" i="42"/>
  <c r="CG26" i="42"/>
  <c r="BZ26" i="42"/>
  <c r="BY26" i="42"/>
  <c r="BX26" i="42"/>
  <c r="BQ25" i="42"/>
  <c r="BR26" i="42" s="1"/>
  <c r="AB26" i="42"/>
  <c r="AC26" i="42" s="1"/>
  <c r="AD26" i="42" s="1"/>
  <c r="BQ26" i="42"/>
  <c r="BR27" i="42"/>
  <c r="BS27" i="42" s="1"/>
  <c r="BT27" i="42"/>
  <c r="BN26" i="42"/>
  <c r="BM26" i="42"/>
  <c r="BH26" i="42"/>
  <c r="BH25" i="42"/>
  <c r="BH24" i="42"/>
  <c r="BA26" i="42"/>
  <c r="AU26" i="42"/>
  <c r="AS26" i="42"/>
  <c r="AT26" i="42"/>
  <c r="AN26" i="42"/>
  <c r="AO26" i="42" s="1"/>
  <c r="AP26" i="42"/>
  <c r="AJ26" i="42"/>
  <c r="AF26" i="42"/>
  <c r="AH26" i="42"/>
  <c r="AG26" i="42"/>
  <c r="X26" i="42"/>
  <c r="S26" i="42"/>
  <c r="P26" i="42"/>
  <c r="J26" i="42"/>
  <c r="I26" i="42"/>
  <c r="D26" i="42"/>
  <c r="CK25" i="42"/>
  <c r="CG25" i="42"/>
  <c r="BZ25" i="42"/>
  <c r="BY25" i="42"/>
  <c r="BX25" i="42"/>
  <c r="BN25" i="42"/>
  <c r="BM25" i="42"/>
  <c r="BQ23" i="42"/>
  <c r="AB24" i="42"/>
  <c r="AC24" i="42" s="1"/>
  <c r="AD24" i="42" s="1"/>
  <c r="BA25" i="42"/>
  <c r="AU25" i="42"/>
  <c r="AS25" i="42"/>
  <c r="AT25" i="42"/>
  <c r="AN25" i="42"/>
  <c r="AO25" i="42"/>
  <c r="AP25" i="42" s="1"/>
  <c r="AQ25" i="42" s="1"/>
  <c r="AJ25" i="42"/>
  <c r="AF25" i="42"/>
  <c r="AB25" i="42"/>
  <c r="AC25" i="42"/>
  <c r="AD25" i="42" s="1"/>
  <c r="AE25" i="42" s="1"/>
  <c r="X25" i="42"/>
  <c r="P25" i="42"/>
  <c r="J25" i="42"/>
  <c r="I25" i="42"/>
  <c r="C25" i="42"/>
  <c r="CK24" i="42"/>
  <c r="CG24" i="42"/>
  <c r="BZ24" i="42"/>
  <c r="BY24" i="42"/>
  <c r="BX24" i="42"/>
  <c r="BQ24" i="42"/>
  <c r="BR25" i="42" s="1"/>
  <c r="BN24" i="42"/>
  <c r="BM24" i="42"/>
  <c r="BQ22" i="42"/>
  <c r="BR23" i="42" s="1"/>
  <c r="BH23" i="42"/>
  <c r="BA24" i="42"/>
  <c r="AU24" i="42"/>
  <c r="AS24" i="42"/>
  <c r="AT24" i="42" s="1"/>
  <c r="AN24" i="42"/>
  <c r="AO24" i="42" s="1"/>
  <c r="AP24" i="42" s="1"/>
  <c r="AQ24" i="42" s="1"/>
  <c r="AJ24" i="42"/>
  <c r="AF24" i="42"/>
  <c r="X24" i="42"/>
  <c r="P24" i="42"/>
  <c r="J24" i="42"/>
  <c r="I24" i="42"/>
  <c r="C24" i="42"/>
  <c r="EO23" i="42"/>
  <c r="EN23" i="42"/>
  <c r="EM23" i="42"/>
  <c r="EL23" i="42"/>
  <c r="CK23" i="42"/>
  <c r="CG23" i="42"/>
  <c r="BZ23" i="42"/>
  <c r="BY23" i="42"/>
  <c r="BX23" i="42"/>
  <c r="BN23" i="42"/>
  <c r="BM23" i="42"/>
  <c r="BQ21" i="42"/>
  <c r="BR22" i="42" s="1"/>
  <c r="AB22" i="42"/>
  <c r="AC22" i="42" s="1"/>
  <c r="AD22" i="42" s="1"/>
  <c r="BH22" i="42"/>
  <c r="BI22" i="42" s="1"/>
  <c r="BA23" i="42"/>
  <c r="AU23" i="42"/>
  <c r="AS23" i="42"/>
  <c r="AT23" i="42"/>
  <c r="AN23" i="42"/>
  <c r="AO23" i="42" s="1"/>
  <c r="AP23" i="42"/>
  <c r="AQ23" i="42" s="1"/>
  <c r="AJ23" i="42"/>
  <c r="AF23" i="42"/>
  <c r="AB23" i="42"/>
  <c r="AC23" i="42" s="1"/>
  <c r="AD23" i="42" s="1"/>
  <c r="X23" i="42"/>
  <c r="P23" i="42"/>
  <c r="J23" i="42"/>
  <c r="I23" i="42"/>
  <c r="C23" i="42"/>
  <c r="CK22" i="42"/>
  <c r="CG22" i="42"/>
  <c r="BZ22" i="42"/>
  <c r="BY22" i="42"/>
  <c r="BX22" i="42"/>
  <c r="BN22" i="42"/>
  <c r="BM22" i="42"/>
  <c r="BP21" i="42" s="1"/>
  <c r="BH21" i="42"/>
  <c r="BN21" i="42"/>
  <c r="BQ20" i="42"/>
  <c r="BR21" i="42" s="1"/>
  <c r="BH20" i="42"/>
  <c r="BI21" i="42"/>
  <c r="BA22" i="42"/>
  <c r="AU22" i="42"/>
  <c r="AS22" i="42"/>
  <c r="AT22" i="42" s="1"/>
  <c r="AN22" i="42"/>
  <c r="AO22" i="42"/>
  <c r="AP22" i="42"/>
  <c r="AQ22" i="42" s="1"/>
  <c r="AJ22" i="42"/>
  <c r="AF22" i="42"/>
  <c r="AG22" i="42" s="1"/>
  <c r="AH22" i="42"/>
  <c r="X22" i="42"/>
  <c r="P22" i="42"/>
  <c r="J22" i="42"/>
  <c r="I22" i="42"/>
  <c r="C22" i="42"/>
  <c r="CK21" i="42"/>
  <c r="CG21" i="42"/>
  <c r="BZ21" i="42"/>
  <c r="BY21" i="42"/>
  <c r="BX21" i="42"/>
  <c r="BM21" i="42"/>
  <c r="BQ19" i="42"/>
  <c r="BR20" i="42" s="1"/>
  <c r="BS20" i="42" s="1"/>
  <c r="BT20" i="42" s="1"/>
  <c r="BH19" i="42"/>
  <c r="BA21" i="42"/>
  <c r="AU21" i="42"/>
  <c r="AS21" i="42"/>
  <c r="AT21" i="42" s="1"/>
  <c r="AN21" i="42"/>
  <c r="AO21" i="42" s="1"/>
  <c r="AP21" i="42" s="1"/>
  <c r="AQ21" i="42" s="1"/>
  <c r="AJ21" i="42"/>
  <c r="AF21" i="42"/>
  <c r="AB21" i="42"/>
  <c r="AC21" i="42" s="1"/>
  <c r="AD21" i="42"/>
  <c r="AB20" i="42"/>
  <c r="AC20" i="42"/>
  <c r="AD20" i="42" s="1"/>
  <c r="X21" i="42"/>
  <c r="P21" i="42"/>
  <c r="J21" i="42"/>
  <c r="I21" i="42"/>
  <c r="C21" i="42"/>
  <c r="CK20" i="42"/>
  <c r="CG20" i="42"/>
  <c r="BZ20" i="42"/>
  <c r="BY20" i="42"/>
  <c r="BX20" i="42"/>
  <c r="BN20" i="42"/>
  <c r="BP20" i="42" s="1"/>
  <c r="BM20" i="42"/>
  <c r="BQ18" i="42"/>
  <c r="BR19" i="42" s="1"/>
  <c r="BA20" i="42"/>
  <c r="AU20" i="42"/>
  <c r="AS20" i="42"/>
  <c r="AT20" i="42" s="1"/>
  <c r="AN20" i="42"/>
  <c r="AO20" i="42" s="1"/>
  <c r="AP20" i="42" s="1"/>
  <c r="AQ20" i="42" s="1"/>
  <c r="AJ20" i="42"/>
  <c r="AF20" i="42"/>
  <c r="X20" i="42"/>
  <c r="P20" i="42"/>
  <c r="J20" i="42"/>
  <c r="I20" i="42"/>
  <c r="C20" i="42"/>
  <c r="CK19" i="42"/>
  <c r="CG19" i="42"/>
  <c r="BZ19" i="42"/>
  <c r="BY19" i="42"/>
  <c r="BX19" i="42"/>
  <c r="BN19" i="42"/>
  <c r="BM19" i="42"/>
  <c r="BH18" i="42"/>
  <c r="BA19" i="42"/>
  <c r="AU19" i="42"/>
  <c r="AS19" i="42"/>
  <c r="AT19" i="42" s="1"/>
  <c r="AN19" i="42"/>
  <c r="AO19" i="42" s="1"/>
  <c r="AP19" i="42" s="1"/>
  <c r="AQ19" i="42" s="1"/>
  <c r="AJ19" i="42"/>
  <c r="AF19" i="42"/>
  <c r="AB19" i="42"/>
  <c r="AC19" i="42"/>
  <c r="AD19" i="42" s="1"/>
  <c r="X19" i="42"/>
  <c r="P19" i="42"/>
  <c r="J19" i="42"/>
  <c r="I19" i="42"/>
  <c r="C19" i="42"/>
  <c r="CK18" i="42"/>
  <c r="CG18" i="42"/>
  <c r="BZ18" i="42"/>
  <c r="BY18" i="42"/>
  <c r="BX18" i="42"/>
  <c r="BQ17" i="42"/>
  <c r="BR18" i="42" s="1"/>
  <c r="BS18" i="42" s="1"/>
  <c r="AB18" i="42"/>
  <c r="BT18" i="42"/>
  <c r="AC18" i="42"/>
  <c r="AD18" i="42" s="1"/>
  <c r="BN18" i="42"/>
  <c r="BM18" i="42"/>
  <c r="BQ16" i="42"/>
  <c r="BR17" i="42" s="1"/>
  <c r="BS17" i="42" s="1"/>
  <c r="BT17" i="42" s="1"/>
  <c r="BA18" i="42"/>
  <c r="AU18" i="42"/>
  <c r="AS18" i="42"/>
  <c r="AT18" i="42" s="1"/>
  <c r="AN18" i="42"/>
  <c r="AO18" i="42" s="1"/>
  <c r="AP18" i="42" s="1"/>
  <c r="AJ18" i="42"/>
  <c r="AF18" i="42"/>
  <c r="AB17" i="42"/>
  <c r="AC17" i="42" s="1"/>
  <c r="AD17" i="42"/>
  <c r="AE18" i="42" s="1"/>
  <c r="X18" i="42"/>
  <c r="P18" i="42"/>
  <c r="J18" i="42"/>
  <c r="I18" i="42"/>
  <c r="C18" i="42"/>
  <c r="EH17" i="42"/>
  <c r="EG17" i="42"/>
  <c r="EF17" i="42"/>
  <c r="EE17" i="42"/>
  <c r="CK17" i="42"/>
  <c r="CG17" i="42"/>
  <c r="BZ17" i="42"/>
  <c r="BY17" i="42"/>
  <c r="BX17" i="42"/>
  <c r="BH17" i="42"/>
  <c r="BN17" i="42"/>
  <c r="BM17" i="42"/>
  <c r="BA17" i="42"/>
  <c r="AU17" i="42"/>
  <c r="AS17" i="42"/>
  <c r="AT17" i="42" s="1"/>
  <c r="AN17" i="42"/>
  <c r="AO17" i="42"/>
  <c r="AP17" i="42" s="1"/>
  <c r="AQ17" i="42" s="1"/>
  <c r="AJ17" i="42"/>
  <c r="AF17" i="42"/>
  <c r="X17" i="42"/>
  <c r="P17" i="42"/>
  <c r="J17" i="42"/>
  <c r="I17" i="42"/>
  <c r="C17" i="42"/>
  <c r="EO16" i="42"/>
  <c r="EN16" i="42"/>
  <c r="EM16" i="42"/>
  <c r="EL16" i="42"/>
  <c r="EH16" i="42"/>
  <c r="EG16" i="42"/>
  <c r="EF16" i="42"/>
  <c r="EE16" i="42"/>
  <c r="CK16" i="42"/>
  <c r="CG16" i="42"/>
  <c r="BZ16" i="42"/>
  <c r="BY16" i="42"/>
  <c r="BX16" i="42"/>
  <c r="BQ15" i="42"/>
  <c r="BR16" i="42"/>
  <c r="BN16" i="42"/>
  <c r="BM16" i="42"/>
  <c r="BR15" i="42" s="1"/>
  <c r="BS15" i="42" s="1"/>
  <c r="BT15" i="42" s="1"/>
  <c r="BH16" i="42"/>
  <c r="BA16" i="42"/>
  <c r="AU16" i="42"/>
  <c r="AS16" i="42"/>
  <c r="AT16" i="42" s="1"/>
  <c r="AN16" i="42"/>
  <c r="AO16" i="42" s="1"/>
  <c r="AP16" i="42" s="1"/>
  <c r="AQ16" i="42"/>
  <c r="AJ16" i="42"/>
  <c r="AF16" i="42"/>
  <c r="AH16" i="42"/>
  <c r="AG16" i="42"/>
  <c r="AB16" i="42"/>
  <c r="AC16" i="42" s="1"/>
  <c r="AD16" i="42"/>
  <c r="AB15" i="42"/>
  <c r="AC15" i="42"/>
  <c r="AD15" i="42" s="1"/>
  <c r="X16" i="42"/>
  <c r="Q16" i="42"/>
  <c r="P16" i="42"/>
  <c r="J16" i="42"/>
  <c r="I16" i="42"/>
  <c r="C16" i="42"/>
  <c r="EH15" i="42"/>
  <c r="EG15" i="42"/>
  <c r="EF15" i="42"/>
  <c r="EE15" i="42"/>
  <c r="CK15" i="42"/>
  <c r="CG15" i="42"/>
  <c r="BZ15" i="42"/>
  <c r="BY15" i="42"/>
  <c r="BX15" i="42"/>
  <c r="BQ14" i="42"/>
  <c r="BH15" i="42"/>
  <c r="BN15" i="42"/>
  <c r="BM15" i="42"/>
  <c r="BA15" i="42"/>
  <c r="AU15" i="42"/>
  <c r="AS15" i="42"/>
  <c r="AT15" i="42"/>
  <c r="AN15" i="42"/>
  <c r="AO15" i="42"/>
  <c r="AP15" i="42" s="1"/>
  <c r="AQ15" i="42" s="1"/>
  <c r="AJ15" i="42"/>
  <c r="AF15" i="42"/>
  <c r="X15" i="42"/>
  <c r="Q15" i="42"/>
  <c r="P15" i="42"/>
  <c r="J15" i="42"/>
  <c r="I15" i="42"/>
  <c r="C15" i="42"/>
  <c r="CK14" i="42"/>
  <c r="CG14" i="42"/>
  <c r="BZ14" i="42"/>
  <c r="BY14" i="42"/>
  <c r="BX14" i="42"/>
  <c r="BQ13" i="42"/>
  <c r="BR14" i="42" s="1"/>
  <c r="BH14" i="42"/>
  <c r="BN14" i="42"/>
  <c r="BP14" i="42"/>
  <c r="BM14" i="42"/>
  <c r="BA14" i="42"/>
  <c r="AU14" i="42"/>
  <c r="AS14" i="42"/>
  <c r="AT14" i="42" s="1"/>
  <c r="AN14" i="42"/>
  <c r="AO14" i="42" s="1"/>
  <c r="AP14" i="42" s="1"/>
  <c r="AQ14" i="42"/>
  <c r="AJ14" i="42"/>
  <c r="AF14" i="42"/>
  <c r="AH14" i="42"/>
  <c r="AB14" i="42"/>
  <c r="AC14" i="42" s="1"/>
  <c r="AD14" i="42" s="1"/>
  <c r="X14" i="42"/>
  <c r="Q14" i="42"/>
  <c r="P14" i="42"/>
  <c r="J14" i="42"/>
  <c r="I14" i="42"/>
  <c r="C14" i="42"/>
  <c r="EH13" i="42"/>
  <c r="EG13" i="42"/>
  <c r="EF13" i="42"/>
  <c r="EE13" i="42"/>
  <c r="CK13" i="42"/>
  <c r="CG13" i="42"/>
  <c r="BZ13" i="42"/>
  <c r="BY13" i="42"/>
  <c r="BX13" i="42"/>
  <c r="BQ12" i="42"/>
  <c r="BR13" i="42"/>
  <c r="AB13" i="42"/>
  <c r="BS13" i="42"/>
  <c r="BT13" i="42" s="1"/>
  <c r="BH13" i="42"/>
  <c r="BN13" i="42"/>
  <c r="BP13" i="42" s="1"/>
  <c r="BM13" i="42"/>
  <c r="BQ11" i="42"/>
  <c r="BR12" i="42"/>
  <c r="BS12" i="42" s="1"/>
  <c r="AB12" i="42"/>
  <c r="AC12" i="42" s="1"/>
  <c r="BT12" i="42"/>
  <c r="BA13" i="42"/>
  <c r="AU13" i="42"/>
  <c r="AW13" i="42" s="1"/>
  <c r="AY13" i="42" s="1"/>
  <c r="AZ13" i="42" s="1"/>
  <c r="AS13" i="42"/>
  <c r="AT13" i="42" s="1"/>
  <c r="AN13" i="42"/>
  <c r="AO13" i="42" s="1"/>
  <c r="AP13" i="42"/>
  <c r="BC13" i="42" s="1"/>
  <c r="AJ13" i="42"/>
  <c r="AF13" i="42"/>
  <c r="AC13" i="42"/>
  <c r="AD13" i="42"/>
  <c r="AE13" i="42" s="1"/>
  <c r="AD12" i="42"/>
  <c r="X13" i="42"/>
  <c r="Q13" i="42"/>
  <c r="P13" i="42"/>
  <c r="J13" i="42"/>
  <c r="I13" i="42"/>
  <c r="C13" i="42"/>
  <c r="EH12" i="42"/>
  <c r="EG12" i="42"/>
  <c r="EF12" i="42"/>
  <c r="EE12" i="42"/>
  <c r="CK12" i="42"/>
  <c r="CG12" i="42"/>
  <c r="BZ12" i="42"/>
  <c r="BY12" i="42"/>
  <c r="BX12" i="42"/>
  <c r="BH12" i="42"/>
  <c r="BP12" i="42" s="1"/>
  <c r="BN12" i="42"/>
  <c r="BM12" i="42"/>
  <c r="BH11" i="42"/>
  <c r="BI12" i="42"/>
  <c r="BA12" i="42"/>
  <c r="AU12" i="42"/>
  <c r="AS12" i="42"/>
  <c r="AT12" i="42"/>
  <c r="AN12" i="42"/>
  <c r="AO12" i="42"/>
  <c r="AP12" i="42" s="1"/>
  <c r="AQ12" i="42" s="1"/>
  <c r="AJ12" i="42"/>
  <c r="AF12" i="42"/>
  <c r="X12" i="42"/>
  <c r="Q12" i="42"/>
  <c r="P12" i="42"/>
  <c r="J12" i="42"/>
  <c r="I12" i="42"/>
  <c r="C12" i="42"/>
  <c r="EH11" i="42"/>
  <c r="EG11" i="42"/>
  <c r="EF11" i="42"/>
  <c r="EE11" i="42"/>
  <c r="CK11" i="42"/>
  <c r="CG11" i="42"/>
  <c r="BZ11" i="42"/>
  <c r="BY11" i="42"/>
  <c r="BX11" i="42"/>
  <c r="BN11" i="42"/>
  <c r="BM11" i="42"/>
  <c r="BA11" i="42"/>
  <c r="AU11" i="42"/>
  <c r="AW11" i="42"/>
  <c r="AY11" i="42" s="1"/>
  <c r="AZ11" i="42" s="1"/>
  <c r="AS11" i="42"/>
  <c r="AT11" i="42"/>
  <c r="AN11" i="42"/>
  <c r="AO11" i="42"/>
  <c r="AP11" i="42" s="1"/>
  <c r="AJ11" i="42"/>
  <c r="AF11" i="42"/>
  <c r="AB11" i="42"/>
  <c r="AC11" i="42" s="1"/>
  <c r="AD11" i="42" s="1"/>
  <c r="AE12" i="42" s="1"/>
  <c r="AB10" i="42"/>
  <c r="AC10" i="42"/>
  <c r="AD10" i="42" s="1"/>
  <c r="X11" i="42"/>
  <c r="Q11" i="42"/>
  <c r="P11" i="42"/>
  <c r="J11" i="42"/>
  <c r="I11" i="42"/>
  <c r="C11" i="42"/>
  <c r="EO10" i="42"/>
  <c r="EN10" i="42"/>
  <c r="EM10" i="42"/>
  <c r="EL10" i="42"/>
  <c r="CK10" i="42"/>
  <c r="CG10" i="42"/>
  <c r="EE18" i="42" s="1"/>
  <c r="BZ10" i="42"/>
  <c r="BY10" i="42"/>
  <c r="BX10" i="42"/>
  <c r="BQ10" i="42"/>
  <c r="BN10" i="42"/>
  <c r="BM10" i="42"/>
  <c r="BH10" i="42"/>
  <c r="BA10" i="42"/>
  <c r="AU10" i="42"/>
  <c r="AS10" i="42"/>
  <c r="AT10" i="42" s="1"/>
  <c r="AN10" i="42"/>
  <c r="AO10" i="42" s="1"/>
  <c r="AP10" i="42" s="1"/>
  <c r="AQ10" i="42" s="1"/>
  <c r="AJ10" i="42"/>
  <c r="AF10" i="42"/>
  <c r="AH10" i="42" s="1"/>
  <c r="AG10" i="42"/>
  <c r="X10" i="42"/>
  <c r="Q10" i="42"/>
  <c r="P10" i="42"/>
  <c r="J10" i="42"/>
  <c r="I10" i="42"/>
  <c r="C10" i="42"/>
  <c r="CK9" i="42"/>
  <c r="CG9" i="42"/>
  <c r="BZ9" i="42"/>
  <c r="BY9" i="42"/>
  <c r="BX9" i="42"/>
  <c r="BQ8" i="42"/>
  <c r="BR9" i="42"/>
  <c r="BS9" i="42" s="1"/>
  <c r="BT9" i="42" s="1"/>
  <c r="AB9" i="42"/>
  <c r="BQ9" i="42"/>
  <c r="BR10" i="42" s="1"/>
  <c r="BS10" i="42" s="1"/>
  <c r="BT10" i="42" s="1"/>
  <c r="BN9" i="42"/>
  <c r="BM9" i="42"/>
  <c r="BH9" i="42"/>
  <c r="BH8" i="42"/>
  <c r="BH7" i="42"/>
  <c r="BI8" i="42" s="1"/>
  <c r="BI9" i="42"/>
  <c r="BA9" i="42"/>
  <c r="AU9" i="42"/>
  <c r="AS9" i="42"/>
  <c r="AT9" i="42"/>
  <c r="AN9" i="42"/>
  <c r="AO9" i="42"/>
  <c r="AP9" i="42" s="1"/>
  <c r="AQ9" i="42" s="1"/>
  <c r="AJ9" i="42"/>
  <c r="AF9" i="42"/>
  <c r="AH9" i="42" s="1"/>
  <c r="AC9" i="42"/>
  <c r="AD9" i="42" s="1"/>
  <c r="X9" i="42"/>
  <c r="Q9" i="42"/>
  <c r="P9" i="42"/>
  <c r="J9" i="42"/>
  <c r="I9" i="42"/>
  <c r="C9" i="42"/>
  <c r="CK8" i="42"/>
  <c r="CG8" i="42"/>
  <c r="BZ8" i="42"/>
  <c r="BY8" i="42"/>
  <c r="BX8" i="42"/>
  <c r="BQ7" i="42"/>
  <c r="BR8" i="42"/>
  <c r="AB8" i="42"/>
  <c r="AC8" i="42"/>
  <c r="AD8" i="42" s="1"/>
  <c r="AB7" i="42"/>
  <c r="BN8" i="42"/>
  <c r="BM8" i="42"/>
  <c r="BQ6" i="42"/>
  <c r="BR7" i="42" s="1"/>
  <c r="BA8" i="42"/>
  <c r="AU8" i="42"/>
  <c r="AS8" i="42"/>
  <c r="AT8" i="42" s="1"/>
  <c r="AN8" i="42"/>
  <c r="AO8" i="42" s="1"/>
  <c r="AP8" i="42" s="1"/>
  <c r="AQ8" i="42" s="1"/>
  <c r="AJ8" i="42"/>
  <c r="AF8" i="42"/>
  <c r="AG8" i="42" s="1"/>
  <c r="AH8" i="42"/>
  <c r="X8" i="42"/>
  <c r="Q8" i="42"/>
  <c r="P8" i="42"/>
  <c r="J8" i="42"/>
  <c r="I8" i="42"/>
  <c r="C8" i="42"/>
  <c r="CK7" i="42"/>
  <c r="CG7" i="42"/>
  <c r="BZ7" i="42"/>
  <c r="BY7" i="42"/>
  <c r="BX7" i="42"/>
  <c r="BN7" i="42"/>
  <c r="BM7" i="42"/>
  <c r="BR6" i="42" s="1"/>
  <c r="BQ5" i="42"/>
  <c r="AB6" i="42"/>
  <c r="BS6" i="42"/>
  <c r="BT6" i="42" s="1"/>
  <c r="BH6" i="42"/>
  <c r="BI6" i="42" s="1"/>
  <c r="BA7" i="42"/>
  <c r="AU7" i="42"/>
  <c r="AS7" i="42"/>
  <c r="AT7" i="42"/>
  <c r="AN7" i="42"/>
  <c r="AO7" i="42"/>
  <c r="AP7" i="42" s="1"/>
  <c r="AQ7" i="42" s="1"/>
  <c r="AJ7" i="42"/>
  <c r="AF7" i="42"/>
  <c r="AG7" i="42" s="1"/>
  <c r="X7" i="42"/>
  <c r="Q7" i="42"/>
  <c r="P7" i="42"/>
  <c r="J7" i="42"/>
  <c r="I7" i="42"/>
  <c r="C7" i="42"/>
  <c r="CK6" i="42"/>
  <c r="CG6" i="42"/>
  <c r="BZ6" i="42"/>
  <c r="BY6" i="42"/>
  <c r="BX6" i="42"/>
  <c r="BN6" i="42"/>
  <c r="BM6" i="42"/>
  <c r="BH5" i="42"/>
  <c r="BP5" i="42" s="1"/>
  <c r="BH4" i="42"/>
  <c r="BI5" i="42"/>
  <c r="BA6" i="42"/>
  <c r="AU6" i="42"/>
  <c r="AS6" i="42"/>
  <c r="AT6" i="42" s="1"/>
  <c r="AN6" i="42"/>
  <c r="AO6" i="42" s="1"/>
  <c r="AP6" i="42"/>
  <c r="AJ6" i="42"/>
  <c r="AF6" i="42"/>
  <c r="AG6" i="42" s="1"/>
  <c r="AH6" i="42"/>
  <c r="AC6" i="42"/>
  <c r="AD6" i="42" s="1"/>
  <c r="AB5" i="42"/>
  <c r="X6" i="42"/>
  <c r="Q6" i="42"/>
  <c r="P6" i="42"/>
  <c r="J6" i="42"/>
  <c r="I6" i="42"/>
  <c r="C6" i="42"/>
  <c r="CK5" i="42"/>
  <c r="CG5" i="42"/>
  <c r="BZ5" i="42"/>
  <c r="BY5" i="42"/>
  <c r="BX5" i="42"/>
  <c r="BQ4" i="42"/>
  <c r="BR5" i="42" s="1"/>
  <c r="BN5" i="42"/>
  <c r="BM5" i="42"/>
  <c r="BI4" i="42"/>
  <c r="BA5" i="42"/>
  <c r="AU5" i="42"/>
  <c r="AS5" i="42"/>
  <c r="AT5" i="42" s="1"/>
  <c r="AN5" i="42"/>
  <c r="AO5" i="42" s="1"/>
  <c r="AP5" i="42" s="1"/>
  <c r="AJ5" i="42"/>
  <c r="AF5" i="42"/>
  <c r="X5" i="42"/>
  <c r="Q5" i="42"/>
  <c r="P5" i="42"/>
  <c r="J5" i="42"/>
  <c r="I5" i="42"/>
  <c r="C5" i="42"/>
  <c r="CK4" i="42"/>
  <c r="BZ4" i="42"/>
  <c r="BY4" i="42"/>
  <c r="BX4" i="42"/>
  <c r="BN4" i="42"/>
  <c r="BM4" i="42"/>
  <c r="BA4" i="42"/>
  <c r="AU4" i="42"/>
  <c r="AN4" i="42"/>
  <c r="AO4" i="42" s="1"/>
  <c r="BC4" i="42" s="1"/>
  <c r="AS4" i="42"/>
  <c r="AT4" i="42"/>
  <c r="AJ4" i="42"/>
  <c r="AF4" i="42"/>
  <c r="AB4" i="42"/>
  <c r="AC4" i="42"/>
  <c r="AD4" i="42" s="1"/>
  <c r="AE4" i="42"/>
  <c r="X4" i="42"/>
  <c r="C12" i="51"/>
  <c r="C496" i="51" s="1"/>
  <c r="C592" i="51"/>
  <c r="C464" i="51"/>
  <c r="C336" i="51"/>
  <c r="C254" i="51"/>
  <c r="C190" i="51"/>
  <c r="C126" i="51"/>
  <c r="W68" i="51"/>
  <c r="V68" i="51"/>
  <c r="U68" i="51"/>
  <c r="N68" i="51"/>
  <c r="L68" i="51"/>
  <c r="I68" i="51"/>
  <c r="J68" i="51"/>
  <c r="W67" i="51"/>
  <c r="V67" i="51"/>
  <c r="U67" i="51"/>
  <c r="N67" i="51"/>
  <c r="L67" i="51"/>
  <c r="I67" i="51"/>
  <c r="J67" i="51" s="1"/>
  <c r="W66" i="51"/>
  <c r="V66" i="51"/>
  <c r="U66" i="51"/>
  <c r="N66" i="51"/>
  <c r="L66" i="51"/>
  <c r="I66" i="51"/>
  <c r="J66" i="51"/>
  <c r="K66" i="51" s="1"/>
  <c r="I65" i="51"/>
  <c r="J65" i="51"/>
  <c r="W65" i="51"/>
  <c r="V65" i="51"/>
  <c r="U65" i="51"/>
  <c r="N65" i="51"/>
  <c r="L65" i="51"/>
  <c r="W64" i="51"/>
  <c r="V64" i="51"/>
  <c r="U64" i="51"/>
  <c r="N64" i="51"/>
  <c r="L64" i="51"/>
  <c r="I64" i="51"/>
  <c r="J64" i="51" s="1"/>
  <c r="W63" i="51"/>
  <c r="V63" i="51"/>
  <c r="U63" i="51"/>
  <c r="N63" i="51"/>
  <c r="L63" i="51"/>
  <c r="I63" i="51"/>
  <c r="J63" i="51"/>
  <c r="W62" i="51"/>
  <c r="V62" i="51"/>
  <c r="U62" i="51"/>
  <c r="N62" i="51"/>
  <c r="L62" i="51"/>
  <c r="I62" i="51"/>
  <c r="J62" i="51" s="1"/>
  <c r="W61" i="51"/>
  <c r="V61" i="51"/>
  <c r="U61" i="51"/>
  <c r="N61" i="51"/>
  <c r="L61" i="51"/>
  <c r="I61" i="51"/>
  <c r="J61" i="51"/>
  <c r="W60" i="51"/>
  <c r="V60" i="51"/>
  <c r="U60" i="51"/>
  <c r="N60" i="51"/>
  <c r="L60" i="51"/>
  <c r="I60" i="51"/>
  <c r="J60" i="51" s="1"/>
  <c r="W59" i="51"/>
  <c r="V59" i="51"/>
  <c r="U59" i="51"/>
  <c r="N59" i="51"/>
  <c r="L59" i="51"/>
  <c r="I59" i="51"/>
  <c r="J59" i="51"/>
  <c r="W58" i="51"/>
  <c r="V58" i="51"/>
  <c r="U58" i="51"/>
  <c r="N58" i="51"/>
  <c r="L58" i="51"/>
  <c r="I58" i="51"/>
  <c r="J58" i="51" s="1"/>
  <c r="W57" i="51"/>
  <c r="V57" i="51"/>
  <c r="U57" i="51"/>
  <c r="N57" i="51"/>
  <c r="L57" i="51"/>
  <c r="I57" i="51"/>
  <c r="J57" i="51"/>
  <c r="W56" i="51"/>
  <c r="V56" i="51"/>
  <c r="U56" i="51"/>
  <c r="N56" i="51"/>
  <c r="L56" i="51"/>
  <c r="I56" i="51"/>
  <c r="J56" i="51" s="1"/>
  <c r="W55" i="51"/>
  <c r="V55" i="51"/>
  <c r="U55" i="51"/>
  <c r="N55" i="51"/>
  <c r="L55" i="51"/>
  <c r="I55" i="51"/>
  <c r="J55" i="51"/>
  <c r="W54" i="51"/>
  <c r="V54" i="51"/>
  <c r="U54" i="51"/>
  <c r="N54" i="51"/>
  <c r="L54" i="51"/>
  <c r="I54" i="51"/>
  <c r="J54" i="51" s="1"/>
  <c r="W53" i="51"/>
  <c r="V53" i="51"/>
  <c r="U53" i="51"/>
  <c r="N53" i="51"/>
  <c r="L53" i="51"/>
  <c r="I53" i="51"/>
  <c r="J53" i="51"/>
  <c r="W52" i="51"/>
  <c r="V52" i="51"/>
  <c r="U52" i="51"/>
  <c r="N52" i="51"/>
  <c r="L52" i="51"/>
  <c r="I52" i="51"/>
  <c r="J52" i="51" s="1"/>
  <c r="W51" i="51"/>
  <c r="V51" i="51"/>
  <c r="U51" i="51"/>
  <c r="N51" i="51"/>
  <c r="L51" i="51"/>
  <c r="I51" i="51"/>
  <c r="J51" i="51"/>
  <c r="W50" i="51"/>
  <c r="V50" i="51"/>
  <c r="U50" i="51"/>
  <c r="N50" i="51"/>
  <c r="L50" i="51"/>
  <c r="I50" i="51"/>
  <c r="J50" i="51" s="1"/>
  <c r="I49" i="51"/>
  <c r="J49" i="51" s="1"/>
  <c r="K50" i="51"/>
  <c r="W49" i="51"/>
  <c r="V49" i="51"/>
  <c r="U49" i="51"/>
  <c r="N49" i="51"/>
  <c r="L49" i="51"/>
  <c r="I48" i="51"/>
  <c r="J48" i="51" s="1"/>
  <c r="W48" i="51"/>
  <c r="V48" i="51"/>
  <c r="U48" i="51"/>
  <c r="N48" i="51"/>
  <c r="L48" i="51"/>
  <c r="W47" i="51"/>
  <c r="V47" i="51"/>
  <c r="U47" i="51"/>
  <c r="N47" i="51"/>
  <c r="L47" i="51"/>
  <c r="I47" i="51"/>
  <c r="J47" i="51" s="1"/>
  <c r="W46" i="51"/>
  <c r="V46" i="51"/>
  <c r="U46" i="51"/>
  <c r="N46" i="51"/>
  <c r="L46" i="51"/>
  <c r="I46" i="51"/>
  <c r="J46" i="51"/>
  <c r="W45" i="51"/>
  <c r="V45" i="51"/>
  <c r="U45" i="51"/>
  <c r="N45" i="51"/>
  <c r="L45" i="51"/>
  <c r="I45" i="51"/>
  <c r="J45" i="51" s="1"/>
  <c r="W44" i="51"/>
  <c r="V44" i="51"/>
  <c r="U44" i="51"/>
  <c r="N44" i="51"/>
  <c r="L44" i="51"/>
  <c r="I44" i="51"/>
  <c r="J44" i="51"/>
  <c r="W43" i="51"/>
  <c r="V43" i="51"/>
  <c r="U43" i="51"/>
  <c r="N43" i="51"/>
  <c r="L43" i="51"/>
  <c r="I43" i="51"/>
  <c r="J43" i="51"/>
  <c r="K44" i="51" s="1"/>
  <c r="W42" i="51"/>
  <c r="V42" i="51"/>
  <c r="U42" i="51"/>
  <c r="N42" i="51"/>
  <c r="L42" i="51"/>
  <c r="I42" i="51"/>
  <c r="J42" i="51" s="1"/>
  <c r="K42" i="51" s="1"/>
  <c r="W41" i="51"/>
  <c r="V41" i="51"/>
  <c r="U41" i="51"/>
  <c r="N41" i="51"/>
  <c r="L41" i="51"/>
  <c r="I41" i="51"/>
  <c r="J41" i="51"/>
  <c r="W40" i="51"/>
  <c r="V40" i="51"/>
  <c r="U40" i="51"/>
  <c r="N40" i="51"/>
  <c r="L40" i="51"/>
  <c r="I40" i="51"/>
  <c r="J40" i="51" s="1"/>
  <c r="W39" i="51"/>
  <c r="V39" i="51"/>
  <c r="U39" i="51"/>
  <c r="N39" i="51"/>
  <c r="L39" i="51"/>
  <c r="I39" i="51"/>
  <c r="J39" i="51"/>
  <c r="W38" i="51"/>
  <c r="V38" i="51"/>
  <c r="U38" i="51"/>
  <c r="N38" i="51"/>
  <c r="L38" i="51"/>
  <c r="I38" i="51"/>
  <c r="J38" i="51" s="1"/>
  <c r="W37" i="51"/>
  <c r="V37" i="51"/>
  <c r="U37" i="51"/>
  <c r="N37" i="51"/>
  <c r="L37" i="51"/>
  <c r="I37" i="51"/>
  <c r="J37" i="51"/>
  <c r="W36" i="51"/>
  <c r="V36" i="51"/>
  <c r="U36" i="51"/>
  <c r="N36" i="51"/>
  <c r="L36" i="51"/>
  <c r="I36" i="51"/>
  <c r="J36" i="51" s="1"/>
  <c r="C36" i="51"/>
  <c r="W35" i="51"/>
  <c r="V35" i="51"/>
  <c r="U35" i="51"/>
  <c r="N35" i="51"/>
  <c r="L35" i="51"/>
  <c r="I35" i="51"/>
  <c r="J35" i="51" s="1"/>
  <c r="I34" i="51"/>
  <c r="J34" i="51" s="1"/>
  <c r="W34" i="51"/>
  <c r="V34" i="51"/>
  <c r="U34" i="51"/>
  <c r="N34" i="51"/>
  <c r="L34" i="51"/>
  <c r="W33" i="51"/>
  <c r="V33" i="51"/>
  <c r="U33" i="51"/>
  <c r="N33" i="51"/>
  <c r="L33" i="51"/>
  <c r="I33" i="51"/>
  <c r="J33" i="51"/>
  <c r="I32" i="51"/>
  <c r="J32" i="51"/>
  <c r="W32" i="51"/>
  <c r="V32" i="51"/>
  <c r="U32" i="51"/>
  <c r="N32" i="51"/>
  <c r="L32" i="51"/>
  <c r="W31" i="51"/>
  <c r="V31" i="51"/>
  <c r="U31" i="51"/>
  <c r="N31" i="51"/>
  <c r="L31" i="51"/>
  <c r="I31" i="51"/>
  <c r="J31" i="51"/>
  <c r="W30" i="51"/>
  <c r="V30" i="51"/>
  <c r="U30" i="51"/>
  <c r="N30" i="51"/>
  <c r="L30" i="51"/>
  <c r="I30" i="51"/>
  <c r="J30" i="51" s="1"/>
  <c r="W29" i="51"/>
  <c r="V29" i="51"/>
  <c r="U29" i="51"/>
  <c r="N29" i="51"/>
  <c r="L29" i="51"/>
  <c r="I29" i="51"/>
  <c r="J29" i="51"/>
  <c r="W28" i="51"/>
  <c r="V28" i="51"/>
  <c r="U28" i="51"/>
  <c r="N28" i="51"/>
  <c r="L28" i="51"/>
  <c r="I28" i="51"/>
  <c r="J28" i="51" s="1"/>
  <c r="C28" i="51"/>
  <c r="W27" i="51"/>
  <c r="V27" i="51"/>
  <c r="U27" i="51"/>
  <c r="N27" i="51"/>
  <c r="L27" i="51"/>
  <c r="I27" i="51"/>
  <c r="J27" i="51" s="1"/>
  <c r="I26" i="51"/>
  <c r="J26" i="51" s="1"/>
  <c r="Y26" i="51"/>
  <c r="W26" i="51"/>
  <c r="V26" i="51"/>
  <c r="U26" i="51"/>
  <c r="N26" i="51"/>
  <c r="L26" i="51"/>
  <c r="Y25" i="51"/>
  <c r="W25" i="51"/>
  <c r="V25" i="51"/>
  <c r="U25" i="51"/>
  <c r="N25" i="51"/>
  <c r="L25" i="51"/>
  <c r="I25" i="51"/>
  <c r="J25" i="51" s="1"/>
  <c r="C25" i="51"/>
  <c r="Y24" i="51"/>
  <c r="W24" i="51"/>
  <c r="V24" i="51"/>
  <c r="U24" i="51"/>
  <c r="N24" i="51"/>
  <c r="L24" i="51"/>
  <c r="I24" i="51"/>
  <c r="J24" i="51"/>
  <c r="Y23" i="51"/>
  <c r="W23" i="51"/>
  <c r="V23" i="51"/>
  <c r="U23" i="51"/>
  <c r="N23" i="51"/>
  <c r="L23" i="51"/>
  <c r="I23" i="51"/>
  <c r="J23" i="51"/>
  <c r="K23" i="51" s="1"/>
  <c r="I22" i="51"/>
  <c r="J22" i="51"/>
  <c r="Y22" i="51"/>
  <c r="W22" i="51"/>
  <c r="V22" i="51"/>
  <c r="U22" i="51"/>
  <c r="N22" i="51"/>
  <c r="L22" i="51"/>
  <c r="Y21" i="51"/>
  <c r="W21" i="51"/>
  <c r="V21" i="51"/>
  <c r="U21" i="51"/>
  <c r="N21" i="51"/>
  <c r="L21" i="51"/>
  <c r="I21" i="51"/>
  <c r="J21" i="51" s="1"/>
  <c r="Y20" i="51"/>
  <c r="W20" i="51"/>
  <c r="V20" i="51"/>
  <c r="U20" i="51"/>
  <c r="N20" i="51"/>
  <c r="L20" i="51"/>
  <c r="I20" i="51"/>
  <c r="J20" i="51" s="1"/>
  <c r="Y19" i="51"/>
  <c r="W19" i="51"/>
  <c r="V19" i="51"/>
  <c r="U19" i="51"/>
  <c r="N19" i="51"/>
  <c r="L19" i="51"/>
  <c r="I19" i="51"/>
  <c r="J19" i="51" s="1"/>
  <c r="I18" i="51"/>
  <c r="J18" i="51" s="1"/>
  <c r="K19" i="51"/>
  <c r="Y18" i="51"/>
  <c r="W18" i="51"/>
  <c r="V18" i="51"/>
  <c r="U18" i="51"/>
  <c r="N18" i="51"/>
  <c r="L18" i="51"/>
  <c r="Y17" i="51"/>
  <c r="W17" i="51"/>
  <c r="V17" i="51"/>
  <c r="U17" i="51"/>
  <c r="N17" i="51"/>
  <c r="L17" i="51"/>
  <c r="I17" i="51"/>
  <c r="J17" i="51"/>
  <c r="Y16" i="51"/>
  <c r="W16" i="51"/>
  <c r="V16" i="51"/>
  <c r="U16" i="51"/>
  <c r="N16" i="51"/>
  <c r="L16" i="51"/>
  <c r="I16" i="51"/>
  <c r="J16" i="51" s="1"/>
  <c r="Y15" i="51"/>
  <c r="W15" i="51"/>
  <c r="V15" i="51"/>
  <c r="U15" i="51"/>
  <c r="N15" i="51"/>
  <c r="L15" i="51"/>
  <c r="I15" i="51"/>
  <c r="J15" i="51" s="1"/>
  <c r="I14" i="51"/>
  <c r="J14" i="51" s="1"/>
  <c r="K14" i="51" s="1"/>
  <c r="I13" i="51"/>
  <c r="J13" i="51" s="1"/>
  <c r="Y14" i="51"/>
  <c r="N14" i="51"/>
  <c r="L14" i="51"/>
  <c r="H58" i="58"/>
  <c r="L94" i="35"/>
  <c r="K94" i="35"/>
  <c r="J94" i="35"/>
  <c r="I94" i="35"/>
  <c r="H94" i="35"/>
  <c r="G94" i="35"/>
  <c r="F94" i="35"/>
  <c r="E94" i="35"/>
  <c r="L93" i="35"/>
  <c r="K93" i="35"/>
  <c r="J93" i="35"/>
  <c r="I93" i="35"/>
  <c r="H93" i="35"/>
  <c r="G93" i="35"/>
  <c r="F93" i="35"/>
  <c r="E93" i="35"/>
  <c r="L92" i="35"/>
  <c r="K92" i="35"/>
  <c r="J92" i="35"/>
  <c r="I92" i="35"/>
  <c r="H92" i="35"/>
  <c r="G92" i="35"/>
  <c r="F92" i="35"/>
  <c r="E92" i="35"/>
  <c r="L91" i="35"/>
  <c r="K91" i="35"/>
  <c r="J91" i="35"/>
  <c r="I91" i="35"/>
  <c r="H91" i="35"/>
  <c r="G91" i="35"/>
  <c r="F91" i="35"/>
  <c r="E91" i="35"/>
  <c r="L90" i="35"/>
  <c r="K90" i="35"/>
  <c r="J90" i="35"/>
  <c r="I90" i="35"/>
  <c r="H90" i="35"/>
  <c r="G90" i="35"/>
  <c r="F90" i="35"/>
  <c r="E90" i="35"/>
  <c r="L89" i="35"/>
  <c r="K89" i="35"/>
  <c r="J89" i="35"/>
  <c r="I89" i="35"/>
  <c r="H89" i="35"/>
  <c r="G89" i="35"/>
  <c r="F89" i="35"/>
  <c r="E89" i="35"/>
  <c r="L88" i="35"/>
  <c r="K88" i="35"/>
  <c r="J88" i="35"/>
  <c r="I88" i="35"/>
  <c r="H88" i="35"/>
  <c r="G88" i="35"/>
  <c r="F88" i="35"/>
  <c r="E88" i="35"/>
  <c r="L87" i="35"/>
  <c r="K87" i="35"/>
  <c r="J87" i="35"/>
  <c r="I87" i="35"/>
  <c r="H87" i="35"/>
  <c r="G87" i="35"/>
  <c r="F87" i="35"/>
  <c r="E87" i="35"/>
  <c r="L86" i="35"/>
  <c r="K86" i="35"/>
  <c r="J86" i="35"/>
  <c r="I86" i="35"/>
  <c r="H86" i="35"/>
  <c r="G86" i="35"/>
  <c r="F86" i="35"/>
  <c r="E86" i="35"/>
  <c r="L85" i="35"/>
  <c r="K85" i="35"/>
  <c r="J85" i="35"/>
  <c r="I85" i="35"/>
  <c r="H85" i="35"/>
  <c r="G85" i="35"/>
  <c r="F85" i="35"/>
  <c r="E85" i="35"/>
  <c r="L84" i="35"/>
  <c r="K84" i="35"/>
  <c r="J84" i="35"/>
  <c r="I84" i="35"/>
  <c r="H84" i="35"/>
  <c r="G84" i="35"/>
  <c r="F84" i="35"/>
  <c r="E84" i="35"/>
  <c r="L83" i="35"/>
  <c r="K83" i="35"/>
  <c r="J83" i="35"/>
  <c r="I83" i="35"/>
  <c r="H83" i="35"/>
  <c r="G83" i="35"/>
  <c r="F83" i="35"/>
  <c r="E83" i="35"/>
  <c r="L82" i="35"/>
  <c r="K82" i="35"/>
  <c r="J82" i="35"/>
  <c r="I82" i="35"/>
  <c r="H82" i="35"/>
  <c r="G82" i="35"/>
  <c r="F82" i="35"/>
  <c r="E82" i="35"/>
  <c r="L81" i="35"/>
  <c r="K81" i="35"/>
  <c r="J81" i="35"/>
  <c r="I81" i="35"/>
  <c r="H81" i="35"/>
  <c r="G81" i="35"/>
  <c r="F81" i="35"/>
  <c r="E81" i="35"/>
  <c r="L80" i="35"/>
  <c r="K80" i="35"/>
  <c r="J80" i="35"/>
  <c r="I80" i="35"/>
  <c r="H80" i="35"/>
  <c r="G80" i="35"/>
  <c r="F80" i="35"/>
  <c r="E80" i="35"/>
  <c r="L79" i="35"/>
  <c r="K79" i="35"/>
  <c r="J79" i="35"/>
  <c r="I79" i="35"/>
  <c r="H79" i="35"/>
  <c r="G79" i="35"/>
  <c r="F79" i="35"/>
  <c r="E79" i="35"/>
  <c r="L78" i="35"/>
  <c r="K78" i="35"/>
  <c r="J78" i="35"/>
  <c r="I78" i="35"/>
  <c r="H78" i="35"/>
  <c r="G78" i="35"/>
  <c r="F78" i="35"/>
  <c r="E78" i="35"/>
  <c r="L77" i="35"/>
  <c r="K77" i="35"/>
  <c r="J77" i="35"/>
  <c r="I77" i="35"/>
  <c r="H77" i="35"/>
  <c r="G77" i="35"/>
  <c r="F77" i="35"/>
  <c r="E77" i="35"/>
  <c r="L76" i="35"/>
  <c r="K76" i="35"/>
  <c r="J76" i="35"/>
  <c r="I76" i="35"/>
  <c r="H76" i="35"/>
  <c r="G76" i="35"/>
  <c r="F76" i="35"/>
  <c r="E76" i="35"/>
  <c r="L75" i="35"/>
  <c r="K75" i="35"/>
  <c r="J75" i="35"/>
  <c r="I75" i="35"/>
  <c r="H75" i="35"/>
  <c r="G75" i="35"/>
  <c r="F75" i="35"/>
  <c r="E75" i="35"/>
  <c r="L74" i="35"/>
  <c r="K74" i="35"/>
  <c r="J74" i="35"/>
  <c r="I74" i="35"/>
  <c r="H74" i="35"/>
  <c r="G74" i="35"/>
  <c r="F74" i="35"/>
  <c r="E74" i="35"/>
  <c r="L73" i="35"/>
  <c r="K73" i="35"/>
  <c r="J73" i="35"/>
  <c r="I73" i="35"/>
  <c r="H73" i="35"/>
  <c r="G73" i="35"/>
  <c r="F73" i="35"/>
  <c r="E73" i="35"/>
  <c r="L72" i="35"/>
  <c r="K72" i="35"/>
  <c r="J72" i="35"/>
  <c r="I72" i="35"/>
  <c r="H72" i="35"/>
  <c r="G72" i="35"/>
  <c r="F72" i="35"/>
  <c r="E72" i="35"/>
  <c r="L71" i="35"/>
  <c r="K71" i="35"/>
  <c r="J71" i="35"/>
  <c r="I71" i="35"/>
  <c r="H71" i="35"/>
  <c r="G71" i="35"/>
  <c r="F71" i="35"/>
  <c r="E71" i="35"/>
  <c r="L70" i="35"/>
  <c r="K70" i="35"/>
  <c r="J70" i="35"/>
  <c r="I70" i="35"/>
  <c r="H70" i="35"/>
  <c r="G70" i="35"/>
  <c r="F70" i="35"/>
  <c r="E70" i="35"/>
  <c r="L69" i="35"/>
  <c r="K69" i="35"/>
  <c r="J69" i="35"/>
  <c r="I69" i="35"/>
  <c r="H69" i="35"/>
  <c r="G69" i="35"/>
  <c r="F69" i="35"/>
  <c r="E69" i="35"/>
  <c r="L68" i="35"/>
  <c r="K68" i="35"/>
  <c r="J68" i="35"/>
  <c r="I68" i="35"/>
  <c r="H68" i="35"/>
  <c r="G68" i="35"/>
  <c r="F68" i="35"/>
  <c r="E68" i="35"/>
  <c r="L67" i="35"/>
  <c r="K67" i="35"/>
  <c r="J67" i="35"/>
  <c r="I67" i="35"/>
  <c r="H67" i="35"/>
  <c r="G67" i="35"/>
  <c r="F67" i="35"/>
  <c r="E67" i="35"/>
  <c r="L66" i="35"/>
  <c r="K66" i="35"/>
  <c r="J66" i="35"/>
  <c r="I66" i="35"/>
  <c r="H66" i="35"/>
  <c r="G66" i="35"/>
  <c r="F66" i="35"/>
  <c r="E66" i="35"/>
  <c r="L65" i="35"/>
  <c r="K65" i="35"/>
  <c r="J65" i="35"/>
  <c r="I65" i="35"/>
  <c r="H65" i="35"/>
  <c r="G65" i="35"/>
  <c r="F65" i="35"/>
  <c r="E65" i="35"/>
  <c r="L64" i="35"/>
  <c r="K64" i="35"/>
  <c r="J64" i="35"/>
  <c r="I64" i="35"/>
  <c r="H64" i="35"/>
  <c r="G64" i="35"/>
  <c r="F64" i="35"/>
  <c r="E64" i="35"/>
  <c r="L63" i="35"/>
  <c r="K63" i="35"/>
  <c r="J63" i="35"/>
  <c r="I63" i="35"/>
  <c r="H63" i="35"/>
  <c r="G63" i="35"/>
  <c r="F63" i="35"/>
  <c r="E63" i="35"/>
  <c r="L62" i="35"/>
  <c r="K62" i="35"/>
  <c r="J62" i="35"/>
  <c r="I62" i="35"/>
  <c r="H62" i="35"/>
  <c r="G62" i="35"/>
  <c r="F62" i="35"/>
  <c r="E62" i="35"/>
  <c r="L61" i="35"/>
  <c r="K61" i="35"/>
  <c r="J61" i="35"/>
  <c r="I61" i="35"/>
  <c r="H61" i="35"/>
  <c r="G61" i="35"/>
  <c r="F61" i="35"/>
  <c r="E61" i="35"/>
  <c r="L60" i="35"/>
  <c r="K60" i="35"/>
  <c r="J60" i="35"/>
  <c r="I60" i="35"/>
  <c r="H60" i="35"/>
  <c r="G60" i="35"/>
  <c r="F60" i="35"/>
  <c r="E60" i="35"/>
  <c r="L59" i="35"/>
  <c r="K59" i="35"/>
  <c r="J59" i="35"/>
  <c r="I59" i="35"/>
  <c r="H59" i="35"/>
  <c r="G59" i="35"/>
  <c r="F59" i="35"/>
  <c r="E59" i="35"/>
  <c r="L58" i="35"/>
  <c r="K58" i="35"/>
  <c r="J58" i="35"/>
  <c r="I58" i="35"/>
  <c r="H58" i="35"/>
  <c r="G58" i="35"/>
  <c r="F58" i="35"/>
  <c r="E58" i="35"/>
  <c r="L57" i="35"/>
  <c r="K57" i="35"/>
  <c r="J57" i="35"/>
  <c r="I57" i="35"/>
  <c r="H57" i="35"/>
  <c r="G57" i="35"/>
  <c r="F57" i="35"/>
  <c r="E57" i="35"/>
  <c r="L56" i="35"/>
  <c r="K56" i="35"/>
  <c r="J56" i="35"/>
  <c r="I56" i="35"/>
  <c r="H56" i="35"/>
  <c r="G56" i="35"/>
  <c r="F56" i="35"/>
  <c r="E56" i="35"/>
  <c r="L55" i="35"/>
  <c r="K55" i="35"/>
  <c r="J55" i="35"/>
  <c r="I55" i="35"/>
  <c r="H55" i="35"/>
  <c r="G55" i="35"/>
  <c r="F55" i="35"/>
  <c r="E55" i="35"/>
  <c r="L54" i="35"/>
  <c r="K54" i="35"/>
  <c r="J54" i="35"/>
  <c r="I54" i="35"/>
  <c r="H54" i="35"/>
  <c r="G54" i="35"/>
  <c r="F54" i="35"/>
  <c r="E54" i="35"/>
  <c r="L53" i="35"/>
  <c r="K53" i="35"/>
  <c r="J53" i="35"/>
  <c r="I53" i="35"/>
  <c r="H53" i="35"/>
  <c r="G53" i="35"/>
  <c r="F53" i="35"/>
  <c r="E53" i="35"/>
  <c r="H55" i="34"/>
  <c r="H54" i="34"/>
  <c r="H53" i="34"/>
  <c r="H52" i="34"/>
  <c r="H51" i="34"/>
  <c r="H50" i="34"/>
  <c r="H49" i="34"/>
  <c r="H46" i="34"/>
  <c r="H47" i="34"/>
  <c r="H48" i="34"/>
  <c r="AT18" i="34"/>
  <c r="H45" i="34"/>
  <c r="H44" i="34"/>
  <c r="H43" i="34"/>
  <c r="H42" i="34"/>
  <c r="H41" i="34"/>
  <c r="H40" i="34"/>
  <c r="H39" i="34"/>
  <c r="H38" i="34"/>
  <c r="H37" i="34"/>
  <c r="H36" i="34"/>
  <c r="H35" i="34"/>
  <c r="H34" i="34"/>
  <c r="H33" i="34"/>
  <c r="H32" i="34"/>
  <c r="AS18" i="34" s="1"/>
  <c r="H31" i="34"/>
  <c r="H30" i="34"/>
  <c r="H29" i="34"/>
  <c r="BA28" i="34"/>
  <c r="AZ28" i="34"/>
  <c r="AY28" i="34"/>
  <c r="AX28" i="34"/>
  <c r="H28" i="34"/>
  <c r="H27" i="34"/>
  <c r="H26" i="34"/>
  <c r="H25" i="34"/>
  <c r="H24" i="34"/>
  <c r="BA23" i="34"/>
  <c r="AZ23" i="34"/>
  <c r="AY23" i="34"/>
  <c r="AX23" i="34"/>
  <c r="H23" i="34"/>
  <c r="H22" i="34"/>
  <c r="H21" i="34"/>
  <c r="H20" i="34"/>
  <c r="H19" i="34"/>
  <c r="H18" i="34"/>
  <c r="AT17" i="34"/>
  <c r="AS17" i="34"/>
  <c r="AR17" i="34"/>
  <c r="AQ17" i="34"/>
  <c r="H17" i="34"/>
  <c r="BA16" i="34"/>
  <c r="AZ16" i="34"/>
  <c r="AY16" i="34"/>
  <c r="AX16" i="34"/>
  <c r="AT16" i="34"/>
  <c r="AS16" i="34"/>
  <c r="AR16" i="34"/>
  <c r="AQ16" i="34"/>
  <c r="H16" i="34"/>
  <c r="AT15" i="34"/>
  <c r="AS15" i="34"/>
  <c r="AR15" i="34"/>
  <c r="AQ15" i="34"/>
  <c r="H15" i="34"/>
  <c r="H14" i="34"/>
  <c r="AT13" i="34"/>
  <c r="AS13" i="34"/>
  <c r="AR13" i="34"/>
  <c r="AQ13" i="34"/>
  <c r="H13" i="34"/>
  <c r="AT12" i="34"/>
  <c r="AS12" i="34"/>
  <c r="AR12" i="34"/>
  <c r="AQ12" i="34"/>
  <c r="H12" i="34"/>
  <c r="AT11" i="34"/>
  <c r="AS11" i="34"/>
  <c r="AR11" i="34"/>
  <c r="AQ11" i="34"/>
  <c r="H11" i="34"/>
  <c r="BA10" i="34"/>
  <c r="AZ10" i="34"/>
  <c r="AY10" i="34"/>
  <c r="AX10" i="34"/>
  <c r="H10" i="34"/>
  <c r="H9" i="34"/>
  <c r="H8" i="34"/>
  <c r="H7" i="34"/>
  <c r="H6" i="34"/>
  <c r="H5" i="34"/>
  <c r="H4" i="34"/>
  <c r="AJ81" i="32"/>
  <c r="AL81" i="32" s="1"/>
  <c r="AF81" i="32"/>
  <c r="AG81" i="32" s="1"/>
  <c r="AA81" i="32"/>
  <c r="Y81" i="32"/>
  <c r="H81" i="32"/>
  <c r="AJ80" i="32"/>
  <c r="AL80" i="32"/>
  <c r="AF80" i="32"/>
  <c r="AG80" i="32"/>
  <c r="AA80" i="32"/>
  <c r="AB80" i="32"/>
  <c r="AC80" i="32" s="1"/>
  <c r="Y80" i="32"/>
  <c r="H80" i="32"/>
  <c r="BE78" i="32"/>
  <c r="BF79" i="32" s="1"/>
  <c r="BG79" i="32" s="1"/>
  <c r="BH79" i="32" s="1"/>
  <c r="BA79" i="32"/>
  <c r="M78" i="32"/>
  <c r="BE79" i="32"/>
  <c r="BB79" i="32"/>
  <c r="AV79" i="32"/>
  <c r="AW79" i="32" s="1"/>
  <c r="AV78" i="32"/>
  <c r="AN79" i="32"/>
  <c r="AJ79" i="32"/>
  <c r="AL79" i="32" s="1"/>
  <c r="AM79" i="32" s="1"/>
  <c r="AF79" i="32"/>
  <c r="AG79" i="32"/>
  <c r="Y79" i="32"/>
  <c r="Z79" i="32"/>
  <c r="AA79" i="32" s="1"/>
  <c r="R79" i="32"/>
  <c r="S79" i="32" s="1"/>
  <c r="Q79" i="32"/>
  <c r="M79" i="32"/>
  <c r="N79" i="32"/>
  <c r="O79" i="32" s="1"/>
  <c r="N78" i="32"/>
  <c r="O78" i="32" s="1"/>
  <c r="H79" i="32"/>
  <c r="AV77" i="32"/>
  <c r="BA78" i="32"/>
  <c r="BB78" i="32"/>
  <c r="AH78" i="32"/>
  <c r="Y78" i="32"/>
  <c r="Z78" i="32"/>
  <c r="AA78" i="32" s="1"/>
  <c r="AB78" i="32" s="1"/>
  <c r="AC78" i="32" s="1"/>
  <c r="AN78" i="32"/>
  <c r="AF78" i="32"/>
  <c r="AG78" i="32"/>
  <c r="R78" i="32"/>
  <c r="S78" i="32"/>
  <c r="Q78" i="32"/>
  <c r="H78" i="32"/>
  <c r="BE77" i="32"/>
  <c r="BF78" i="32"/>
  <c r="BG78" i="32" s="1"/>
  <c r="BH78" i="32" s="1"/>
  <c r="M77" i="32"/>
  <c r="BB77" i="32"/>
  <c r="BA77" i="32"/>
  <c r="BE76" i="32"/>
  <c r="BF77" i="32" s="1"/>
  <c r="M76" i="32"/>
  <c r="N76" i="32" s="1"/>
  <c r="O76" i="32" s="1"/>
  <c r="AN77" i="32"/>
  <c r="AH77" i="32"/>
  <c r="AF77" i="32"/>
  <c r="AG77" i="32" s="1"/>
  <c r="Y77" i="32"/>
  <c r="Z77" i="32" s="1"/>
  <c r="AA77" i="32" s="1"/>
  <c r="AB77" i="32" s="1"/>
  <c r="AC77" i="32" s="1"/>
  <c r="R77" i="32"/>
  <c r="S77" i="32"/>
  <c r="Q77" i="32"/>
  <c r="N77" i="32"/>
  <c r="O77" i="32" s="1"/>
  <c r="H77" i="32"/>
  <c r="AV75" i="32"/>
  <c r="BA76" i="32"/>
  <c r="BB76" i="32"/>
  <c r="AV76" i="32"/>
  <c r="AH76" i="32"/>
  <c r="Y76" i="32"/>
  <c r="Z76" i="32" s="1"/>
  <c r="AA76" i="32" s="1"/>
  <c r="AB76" i="32" s="1"/>
  <c r="AC76" i="32" s="1"/>
  <c r="AN76" i="32"/>
  <c r="AF76" i="32"/>
  <c r="AG76" i="32"/>
  <c r="R76" i="32"/>
  <c r="S76" i="32" s="1"/>
  <c r="Q76" i="32"/>
  <c r="H76" i="32"/>
  <c r="BE75" i="32"/>
  <c r="BF76" i="32" s="1"/>
  <c r="BG76" i="32" s="1"/>
  <c r="BH76" i="32" s="1"/>
  <c r="M75" i="32"/>
  <c r="N75" i="32" s="1"/>
  <c r="O75" i="32" s="1"/>
  <c r="BB75" i="32"/>
  <c r="BA75" i="32"/>
  <c r="BF75" i="32" s="1"/>
  <c r="BE74" i="32"/>
  <c r="M74" i="32"/>
  <c r="BG75" i="32"/>
  <c r="BH75" i="32" s="1"/>
  <c r="AN75" i="32"/>
  <c r="AH75" i="32"/>
  <c r="AF75" i="32"/>
  <c r="AG75" i="32" s="1"/>
  <c r="Y75" i="32"/>
  <c r="Z75" i="32" s="1"/>
  <c r="AA75" i="32" s="1"/>
  <c r="AB75" i="32" s="1"/>
  <c r="AC75" i="32" s="1"/>
  <c r="R75" i="32"/>
  <c r="S75" i="32"/>
  <c r="Q75" i="32"/>
  <c r="N74" i="32"/>
  <c r="O74" i="32" s="1"/>
  <c r="H75" i="32"/>
  <c r="AV73" i="32"/>
  <c r="BD74" i="32" s="1"/>
  <c r="BA74" i="32"/>
  <c r="BB74" i="32"/>
  <c r="AV74" i="32"/>
  <c r="AH74" i="32"/>
  <c r="Y74" i="32"/>
  <c r="Z74" i="32" s="1"/>
  <c r="AA74" i="32" s="1"/>
  <c r="AP74" i="32" s="1"/>
  <c r="AN74" i="32"/>
  <c r="AJ74" i="32"/>
  <c r="AL74" i="32" s="1"/>
  <c r="AM74" i="32"/>
  <c r="AF74" i="32"/>
  <c r="AG74" i="32"/>
  <c r="R74" i="32"/>
  <c r="S74" i="32"/>
  <c r="Q74" i="32"/>
  <c r="H74" i="32"/>
  <c r="BE73" i="32"/>
  <c r="BF74" i="32"/>
  <c r="BG74" i="32" s="1"/>
  <c r="BH74" i="32" s="1"/>
  <c r="M73" i="32"/>
  <c r="N73" i="32"/>
  <c r="BB73" i="32"/>
  <c r="BA73" i="32"/>
  <c r="BE72" i="32"/>
  <c r="BF73" i="32"/>
  <c r="BG73" i="32" s="1"/>
  <c r="BH73" i="32" s="1"/>
  <c r="M72" i="32"/>
  <c r="AN73" i="32"/>
  <c r="AH73" i="32"/>
  <c r="AF73" i="32"/>
  <c r="AG73" i="32" s="1"/>
  <c r="Y73" i="32"/>
  <c r="Z73" i="32" s="1"/>
  <c r="AA73" i="32" s="1"/>
  <c r="AB73" i="32" s="1"/>
  <c r="AC73" i="32"/>
  <c r="R73" i="32"/>
  <c r="S73" i="32"/>
  <c r="Q73" i="32"/>
  <c r="O73" i="32"/>
  <c r="P73" i="32" s="1"/>
  <c r="N72" i="32"/>
  <c r="O72" i="32"/>
  <c r="H73" i="32"/>
  <c r="AV71" i="32"/>
  <c r="BA72" i="32"/>
  <c r="BB72" i="32"/>
  <c r="BD72" i="32"/>
  <c r="AV72" i="32"/>
  <c r="AH72" i="32"/>
  <c r="Y72" i="32"/>
  <c r="Z72" i="32"/>
  <c r="AA72" i="32" s="1"/>
  <c r="AP72" i="32" s="1"/>
  <c r="AN72" i="32"/>
  <c r="AJ72" i="32"/>
  <c r="AL72" i="32" s="1"/>
  <c r="AM72" i="32" s="1"/>
  <c r="AF72" i="32"/>
  <c r="AG72" i="32"/>
  <c r="R72" i="32"/>
  <c r="S72" i="32"/>
  <c r="Q72" i="32"/>
  <c r="H72" i="32"/>
  <c r="BE71" i="32"/>
  <c r="BF72" i="32"/>
  <c r="M71" i="32"/>
  <c r="N71" i="32"/>
  <c r="O71" i="32" s="1"/>
  <c r="BB71" i="32"/>
  <c r="BA71" i="32"/>
  <c r="BE70" i="32"/>
  <c r="BF71" i="32" s="1"/>
  <c r="BG71" i="32" s="1"/>
  <c r="M70" i="32"/>
  <c r="N70" i="32" s="1"/>
  <c r="O70" i="32" s="1"/>
  <c r="BH71" i="32"/>
  <c r="AN71" i="32"/>
  <c r="AH71" i="32"/>
  <c r="AF71" i="32"/>
  <c r="AG71" i="32"/>
  <c r="Y71" i="32"/>
  <c r="Z71" i="32"/>
  <c r="AA71" i="32" s="1"/>
  <c r="AB71" i="32" s="1"/>
  <c r="AC71" i="32" s="1"/>
  <c r="R71" i="32"/>
  <c r="S71" i="32" s="1"/>
  <c r="Q71" i="32"/>
  <c r="H71" i="32"/>
  <c r="AV69" i="32"/>
  <c r="BD70" i="32" s="1"/>
  <c r="BA70" i="32"/>
  <c r="BB70" i="32"/>
  <c r="AV70" i="32"/>
  <c r="AH70" i="32"/>
  <c r="Y70" i="32"/>
  <c r="Z70" i="32" s="1"/>
  <c r="AA70" i="32" s="1"/>
  <c r="AN70" i="32"/>
  <c r="AJ70" i="32"/>
  <c r="AL70" i="32"/>
  <c r="AM70" i="32" s="1"/>
  <c r="AF70" i="32"/>
  <c r="AG70" i="32" s="1"/>
  <c r="R70" i="32"/>
  <c r="S70" i="32" s="1"/>
  <c r="Q70" i="32"/>
  <c r="H70" i="32"/>
  <c r="BE69" i="32"/>
  <c r="BF70" i="32" s="1"/>
  <c r="M69" i="32"/>
  <c r="N69" i="32" s="1"/>
  <c r="O69" i="32" s="1"/>
  <c r="M68" i="32"/>
  <c r="N68" i="32"/>
  <c r="O68" i="32" s="1"/>
  <c r="BB69" i="32"/>
  <c r="BA69" i="32"/>
  <c r="BF69" i="32" s="1"/>
  <c r="BG69" i="32" s="1"/>
  <c r="BH69" i="32" s="1"/>
  <c r="BE68" i="32"/>
  <c r="AN69" i="32"/>
  <c r="AH69" i="32"/>
  <c r="AF69" i="32"/>
  <c r="AG69" i="32"/>
  <c r="Y69" i="32"/>
  <c r="Z69" i="32"/>
  <c r="AA69" i="32" s="1"/>
  <c r="AB69" i="32"/>
  <c r="AC69" i="32" s="1"/>
  <c r="R69" i="32"/>
  <c r="S69" i="32" s="1"/>
  <c r="Q69" i="32"/>
  <c r="H69" i="32"/>
  <c r="AV67" i="32"/>
  <c r="BD68" i="32" s="1"/>
  <c r="BA68" i="32"/>
  <c r="BB68" i="32"/>
  <c r="AV68" i="32"/>
  <c r="AH68" i="32"/>
  <c r="Y68" i="32"/>
  <c r="Z68" i="32" s="1"/>
  <c r="AA68" i="32" s="1"/>
  <c r="AN68" i="32"/>
  <c r="AJ68" i="32"/>
  <c r="AL68" i="32" s="1"/>
  <c r="AM68" i="32" s="1"/>
  <c r="AF68" i="32"/>
  <c r="AG68" i="32"/>
  <c r="R68" i="32"/>
  <c r="S68" i="32"/>
  <c r="Q68" i="32"/>
  <c r="H68" i="32"/>
  <c r="BE67" i="32"/>
  <c r="BF68" i="32"/>
  <c r="M67" i="32"/>
  <c r="BG68" i="32"/>
  <c r="BH68" i="32" s="1"/>
  <c r="N67" i="32"/>
  <c r="BB67" i="32"/>
  <c r="BA67" i="32"/>
  <c r="BE66" i="32"/>
  <c r="M66" i="32"/>
  <c r="AN67" i="32"/>
  <c r="AH67" i="32"/>
  <c r="AF67" i="32"/>
  <c r="AG67" i="32" s="1"/>
  <c r="Y67" i="32"/>
  <c r="Z67" i="32" s="1"/>
  <c r="AA67" i="32"/>
  <c r="AB67" i="32" s="1"/>
  <c r="AC67" i="32" s="1"/>
  <c r="R67" i="32"/>
  <c r="S67" i="32"/>
  <c r="Q67" i="32"/>
  <c r="O67" i="32"/>
  <c r="P67" i="32" s="1"/>
  <c r="N66" i="32"/>
  <c r="O66" i="32"/>
  <c r="H67" i="32"/>
  <c r="AV65" i="32"/>
  <c r="BA66" i="32"/>
  <c r="BD66" i="32" s="1"/>
  <c r="BB66" i="32"/>
  <c r="AV66" i="32"/>
  <c r="AH66" i="32"/>
  <c r="AJ66" i="32" s="1"/>
  <c r="AL66" i="32" s="1"/>
  <c r="AM66" i="32" s="1"/>
  <c r="Y66" i="32"/>
  <c r="Z66" i="32"/>
  <c r="AA66" i="32" s="1"/>
  <c r="AN66" i="32"/>
  <c r="AF66" i="32"/>
  <c r="AG66" i="32" s="1"/>
  <c r="R66" i="32"/>
  <c r="S66" i="32" s="1"/>
  <c r="Q66" i="32"/>
  <c r="H66" i="32"/>
  <c r="BE65" i="32"/>
  <c r="BF66" i="32" s="1"/>
  <c r="BG66" i="32" s="1"/>
  <c r="BH66" i="32" s="1"/>
  <c r="M65" i="32"/>
  <c r="N65" i="32" s="1"/>
  <c r="O65" i="32" s="1"/>
  <c r="BB65" i="32"/>
  <c r="BA65" i="32"/>
  <c r="BE64" i="32"/>
  <c r="BF65" i="32" s="1"/>
  <c r="BG65" i="32" s="1"/>
  <c r="BH65" i="32" s="1"/>
  <c r="M64" i="32"/>
  <c r="AN65" i="32"/>
  <c r="AH65" i="32"/>
  <c r="AF65" i="32"/>
  <c r="AG65" i="32"/>
  <c r="Y65" i="32"/>
  <c r="Z65" i="32"/>
  <c r="AA65" i="32" s="1"/>
  <c r="AB65" i="32" s="1"/>
  <c r="AC65" i="32" s="1"/>
  <c r="R65" i="32"/>
  <c r="S65" i="32" s="1"/>
  <c r="Q65" i="32"/>
  <c r="N64" i="32"/>
  <c r="O64" i="32" s="1"/>
  <c r="H65" i="32"/>
  <c r="AV63" i="32"/>
  <c r="BA64" i="32"/>
  <c r="BB64" i="32"/>
  <c r="AV64" i="32"/>
  <c r="AH64" i="32"/>
  <c r="AJ64" i="32" s="1"/>
  <c r="Y64" i="32"/>
  <c r="Z64" i="32" s="1"/>
  <c r="AA64" i="32"/>
  <c r="AP64" i="32" s="1"/>
  <c r="AN64" i="32"/>
  <c r="AL64" i="32"/>
  <c r="AM64" i="32" s="1"/>
  <c r="AF64" i="32"/>
  <c r="AG64" i="32" s="1"/>
  <c r="R64" i="32"/>
  <c r="S64" i="32" s="1"/>
  <c r="Q64" i="32"/>
  <c r="H64" i="32"/>
  <c r="BE63" i="32"/>
  <c r="BF64" i="32" s="1"/>
  <c r="M63" i="32"/>
  <c r="N63" i="32" s="1"/>
  <c r="O63" i="32" s="1"/>
  <c r="P63" i="32" s="1"/>
  <c r="BB63" i="32"/>
  <c r="BA63" i="32"/>
  <c r="BE62" i="32"/>
  <c r="BF63" i="32"/>
  <c r="BG63" i="32" s="1"/>
  <c r="BH63" i="32" s="1"/>
  <c r="M62" i="32"/>
  <c r="AN63" i="32"/>
  <c r="AH63" i="32"/>
  <c r="AF63" i="32"/>
  <c r="AG63" i="32" s="1"/>
  <c r="Y63" i="32"/>
  <c r="Z63" i="32" s="1"/>
  <c r="AA63" i="32" s="1"/>
  <c r="AB63" i="32" s="1"/>
  <c r="AC63" i="32" s="1"/>
  <c r="R63" i="32"/>
  <c r="S63" i="32"/>
  <c r="Q63" i="32"/>
  <c r="N62" i="32"/>
  <c r="O62" i="32" s="1"/>
  <c r="H63" i="32"/>
  <c r="AV61" i="32"/>
  <c r="BA62" i="32"/>
  <c r="BB62" i="32"/>
  <c r="AV62" i="32"/>
  <c r="AH62" i="32"/>
  <c r="AJ62" i="32" s="1"/>
  <c r="AL62" i="32" s="1"/>
  <c r="Y62" i="32"/>
  <c r="Z62" i="32"/>
  <c r="AA62" i="32" s="1"/>
  <c r="AB62" i="32" s="1"/>
  <c r="AC62" i="32" s="1"/>
  <c r="AP62" i="32"/>
  <c r="AN62" i="32"/>
  <c r="AM62" i="32"/>
  <c r="AF62" i="32"/>
  <c r="AG62" i="32"/>
  <c r="R62" i="32"/>
  <c r="S62" i="32"/>
  <c r="Q62" i="32"/>
  <c r="H62" i="32"/>
  <c r="BE61" i="32"/>
  <c r="M61" i="32"/>
  <c r="N61" i="32"/>
  <c r="O61" i="32" s="1"/>
  <c r="M60" i="32"/>
  <c r="N60" i="32" s="1"/>
  <c r="O60" i="32"/>
  <c r="P60" i="32" s="1"/>
  <c r="BB61" i="32"/>
  <c r="AV60" i="32"/>
  <c r="BA61" i="32"/>
  <c r="BD61" i="32" s="1"/>
  <c r="BE60" i="32"/>
  <c r="BF61" i="32" s="1"/>
  <c r="BG61" i="32" s="1"/>
  <c r="BH61" i="32" s="1"/>
  <c r="AN61" i="32"/>
  <c r="AH61" i="32"/>
  <c r="AF61" i="32"/>
  <c r="AG61" i="32" s="1"/>
  <c r="Y61" i="32"/>
  <c r="Z61" i="32" s="1"/>
  <c r="AA61" i="32"/>
  <c r="AB61" i="32" s="1"/>
  <c r="AC61" i="32" s="1"/>
  <c r="R61" i="32"/>
  <c r="S61" i="32"/>
  <c r="Q61" i="32"/>
  <c r="H61" i="32"/>
  <c r="AV59" i="32"/>
  <c r="BA60" i="32"/>
  <c r="BB60" i="32"/>
  <c r="AH60" i="32"/>
  <c r="Y60" i="32"/>
  <c r="Z60" i="32" s="1"/>
  <c r="AA60" i="32" s="1"/>
  <c r="AN60" i="32"/>
  <c r="AJ60" i="32"/>
  <c r="AL60" i="32" s="1"/>
  <c r="AM60" i="32" s="1"/>
  <c r="AF60" i="32"/>
  <c r="AG60" i="32"/>
  <c r="R60" i="32"/>
  <c r="S60" i="32"/>
  <c r="Q60" i="32"/>
  <c r="H60" i="32"/>
  <c r="BE59" i="32"/>
  <c r="M59" i="32"/>
  <c r="N59" i="32"/>
  <c r="BB59" i="32"/>
  <c r="BA59" i="32"/>
  <c r="BF59" i="32" s="1"/>
  <c r="BE58" i="32"/>
  <c r="M58" i="32"/>
  <c r="BG59" i="32"/>
  <c r="BH59" i="32" s="1"/>
  <c r="AN59" i="32"/>
  <c r="AH59" i="32"/>
  <c r="AF59" i="32"/>
  <c r="AG59" i="32" s="1"/>
  <c r="Y59" i="32"/>
  <c r="Z59" i="32" s="1"/>
  <c r="AA59" i="32" s="1"/>
  <c r="R59" i="32"/>
  <c r="S59" i="32"/>
  <c r="Q59" i="32"/>
  <c r="O59" i="32"/>
  <c r="N58" i="32"/>
  <c r="O58" i="32"/>
  <c r="H59" i="32"/>
  <c r="AV57" i="32"/>
  <c r="BA58" i="32"/>
  <c r="BD58" i="32" s="1"/>
  <c r="BB58" i="32"/>
  <c r="AV58" i="32"/>
  <c r="AH58" i="32"/>
  <c r="AJ58" i="32" s="1"/>
  <c r="AL58" i="32" s="1"/>
  <c r="AM58" i="32" s="1"/>
  <c r="Y58" i="32"/>
  <c r="Z58" i="32"/>
  <c r="AA58" i="32" s="1"/>
  <c r="AN58" i="32"/>
  <c r="AF58" i="32"/>
  <c r="AG58" i="32" s="1"/>
  <c r="R58" i="32"/>
  <c r="S58" i="32" s="1"/>
  <c r="Q58" i="32"/>
  <c r="H58" i="32"/>
  <c r="BE57" i="32"/>
  <c r="M57" i="32"/>
  <c r="N57" i="32" s="1"/>
  <c r="O57" i="32" s="1"/>
  <c r="BB57" i="32"/>
  <c r="BA57" i="32"/>
  <c r="BE56" i="32"/>
  <c r="BF57" i="32" s="1"/>
  <c r="M56" i="32"/>
  <c r="N56" i="32" s="1"/>
  <c r="O56" i="32" s="1"/>
  <c r="P56" i="32" s="1"/>
  <c r="AN57" i="32"/>
  <c r="AH57" i="32"/>
  <c r="AJ57" i="32" s="1"/>
  <c r="AL57" i="32" s="1"/>
  <c r="AM57" i="32" s="1"/>
  <c r="AF57" i="32"/>
  <c r="AG57" i="32"/>
  <c r="Y57" i="32"/>
  <c r="Z57" i="32"/>
  <c r="AA57" i="32" s="1"/>
  <c r="AB57" i="32" s="1"/>
  <c r="AC57" i="32" s="1"/>
  <c r="R57" i="32"/>
  <c r="S57" i="32" s="1"/>
  <c r="Q57" i="32"/>
  <c r="H57" i="32"/>
  <c r="BE55" i="32"/>
  <c r="BF56" i="32" s="1"/>
  <c r="BA56" i="32"/>
  <c r="M55" i="32"/>
  <c r="BG56" i="32"/>
  <c r="BH56" i="32" s="1"/>
  <c r="N55" i="32"/>
  <c r="O55" i="32" s="1"/>
  <c r="AV55" i="32"/>
  <c r="AW55" i="32" s="1"/>
  <c r="AV54" i="32"/>
  <c r="BB56" i="32"/>
  <c r="AV56" i="32"/>
  <c r="AN56" i="32"/>
  <c r="AH56" i="32"/>
  <c r="AJ56" i="32"/>
  <c r="AL56" i="32" s="1"/>
  <c r="AM56" i="32" s="1"/>
  <c r="AF56" i="32"/>
  <c r="AG56" i="32"/>
  <c r="Y56" i="32"/>
  <c r="Z56" i="32"/>
  <c r="AA56" i="32" s="1"/>
  <c r="AB56" i="32"/>
  <c r="AC56" i="32" s="1"/>
  <c r="R56" i="32"/>
  <c r="S56" i="32" s="1"/>
  <c r="Q56" i="32"/>
  <c r="H56" i="32"/>
  <c r="BN55" i="32"/>
  <c r="BM55" i="32"/>
  <c r="BL55" i="32"/>
  <c r="BE54" i="32"/>
  <c r="BA55" i="32"/>
  <c r="BF55" i="32"/>
  <c r="BG55" i="32" s="1"/>
  <c r="BH55" i="32" s="1"/>
  <c r="M54" i="32"/>
  <c r="BB55" i="32"/>
  <c r="BD55" i="32" s="1"/>
  <c r="AN55" i="32"/>
  <c r="AH55" i="32"/>
  <c r="Y55" i="32"/>
  <c r="Z55" i="32" s="1"/>
  <c r="AA55" i="32" s="1"/>
  <c r="AF55" i="32"/>
  <c r="AG55" i="32"/>
  <c r="R55" i="32"/>
  <c r="S55" i="32" s="1"/>
  <c r="Q55" i="32"/>
  <c r="H55" i="32"/>
  <c r="BN54" i="32"/>
  <c r="BM54" i="32"/>
  <c r="BL54" i="32"/>
  <c r="BE53" i="32"/>
  <c r="BA54" i="32"/>
  <c r="BD54" i="32" s="1"/>
  <c r="AV53" i="32"/>
  <c r="BB54" i="32"/>
  <c r="M53" i="32"/>
  <c r="N53" i="32" s="1"/>
  <c r="O53" i="32" s="1"/>
  <c r="AW54" i="32"/>
  <c r="AN54" i="32"/>
  <c r="AH54" i="32"/>
  <c r="AF54" i="32"/>
  <c r="AG54" i="32" s="1"/>
  <c r="Y54" i="32"/>
  <c r="Z54" i="32" s="1"/>
  <c r="AA54" i="32"/>
  <c r="AB54" i="32" s="1"/>
  <c r="AC54" i="32" s="1"/>
  <c r="R54" i="32"/>
  <c r="S54" i="32"/>
  <c r="Q54" i="32"/>
  <c r="N54" i="32"/>
  <c r="O54" i="32" s="1"/>
  <c r="M52" i="32"/>
  <c r="N52" i="32" s="1"/>
  <c r="O52" i="32" s="1"/>
  <c r="P52" i="32" s="1"/>
  <c r="H54" i="32"/>
  <c r="BN53" i="32"/>
  <c r="BM53" i="32"/>
  <c r="BL53" i="32"/>
  <c r="BE52" i="32"/>
  <c r="BF53" i="32" s="1"/>
  <c r="BA53" i="32"/>
  <c r="M51" i="32"/>
  <c r="N51" i="32" s="1"/>
  <c r="O51" i="32" s="1"/>
  <c r="BB53" i="32"/>
  <c r="AN53" i="32"/>
  <c r="AH53" i="32"/>
  <c r="AJ53" i="32" s="1"/>
  <c r="AF53" i="32"/>
  <c r="AG53" i="32"/>
  <c r="Y53" i="32"/>
  <c r="Z53" i="32"/>
  <c r="AA53" i="32" s="1"/>
  <c r="AB53" i="32" s="1"/>
  <c r="AC53" i="32" s="1"/>
  <c r="R53" i="32"/>
  <c r="S53" i="32" s="1"/>
  <c r="Q53" i="32"/>
  <c r="H53" i="32"/>
  <c r="BN52" i="32"/>
  <c r="BM52" i="32"/>
  <c r="BL52" i="32"/>
  <c r="BB52" i="32"/>
  <c r="BA52" i="32"/>
  <c r="AV52" i="32"/>
  <c r="AH52" i="32"/>
  <c r="AP52" i="32" s="1"/>
  <c r="Y52" i="32"/>
  <c r="Z52" i="32"/>
  <c r="AA52" i="32" s="1"/>
  <c r="AB52" i="32"/>
  <c r="AC52" i="32" s="1"/>
  <c r="AN52" i="32"/>
  <c r="AF52" i="32"/>
  <c r="AG52" i="32" s="1"/>
  <c r="R52" i="32"/>
  <c r="S52" i="32"/>
  <c r="Q52" i="32"/>
  <c r="H52" i="32"/>
  <c r="BN51" i="32"/>
  <c r="BM51" i="32"/>
  <c r="BL51" i="32"/>
  <c r="BE51" i="32"/>
  <c r="BF52" i="32" s="1"/>
  <c r="AV50" i="32"/>
  <c r="BD51" i="32" s="1"/>
  <c r="BA51" i="32"/>
  <c r="BB51" i="32"/>
  <c r="AV51" i="32"/>
  <c r="AN51" i="32"/>
  <c r="AH51" i="32"/>
  <c r="AJ51" i="32"/>
  <c r="AL51" i="32" s="1"/>
  <c r="AM51" i="32" s="1"/>
  <c r="AF51" i="32"/>
  <c r="AG51" i="32"/>
  <c r="Y51" i="32"/>
  <c r="Z51" i="32"/>
  <c r="AA51" i="32" s="1"/>
  <c r="AP51" i="32"/>
  <c r="R51" i="32"/>
  <c r="S51" i="32"/>
  <c r="Q51" i="32"/>
  <c r="H51" i="32"/>
  <c r="BN50" i="32"/>
  <c r="BM50" i="32"/>
  <c r="BL50" i="32"/>
  <c r="BE50" i="32"/>
  <c r="BF51" i="32" s="1"/>
  <c r="BB50" i="32"/>
  <c r="BA50" i="32"/>
  <c r="BE49" i="32"/>
  <c r="BF50" i="32" s="1"/>
  <c r="AV49" i="32"/>
  <c r="AN50" i="32"/>
  <c r="AH50" i="32"/>
  <c r="AF50" i="32"/>
  <c r="AG50" i="32"/>
  <c r="Y50" i="32"/>
  <c r="Z50" i="32"/>
  <c r="AA50" i="32" s="1"/>
  <c r="AB50" i="32" s="1"/>
  <c r="AC50" i="32" s="1"/>
  <c r="R50" i="32"/>
  <c r="S50" i="32" s="1"/>
  <c r="Q50" i="32"/>
  <c r="M50" i="32"/>
  <c r="N50" i="32"/>
  <c r="O50" i="32" s="1"/>
  <c r="H50" i="32"/>
  <c r="BN49" i="32"/>
  <c r="BM49" i="32"/>
  <c r="BL49" i="32"/>
  <c r="M49" i="32"/>
  <c r="BB49" i="32"/>
  <c r="BA49" i="32"/>
  <c r="BD49" i="32" s="1"/>
  <c r="AV48" i="32"/>
  <c r="BE48" i="32"/>
  <c r="BF49" i="32"/>
  <c r="BG49" i="32" s="1"/>
  <c r="BH49" i="32" s="1"/>
  <c r="M48" i="32"/>
  <c r="AN49" i="32"/>
  <c r="AH49" i="32"/>
  <c r="AJ49" i="32"/>
  <c r="AL49" i="32" s="1"/>
  <c r="AM49" i="32" s="1"/>
  <c r="AF49" i="32"/>
  <c r="AG49" i="32"/>
  <c r="Y49" i="32"/>
  <c r="Z49" i="32"/>
  <c r="AA49" i="32" s="1"/>
  <c r="AB49" i="32" s="1"/>
  <c r="R49" i="32"/>
  <c r="S49" i="32" s="1"/>
  <c r="Q49" i="32"/>
  <c r="H49" i="32"/>
  <c r="BN48" i="32"/>
  <c r="BM48" i="32"/>
  <c r="BL48" i="32"/>
  <c r="BB48" i="32"/>
  <c r="BA48" i="32"/>
  <c r="AV47" i="32"/>
  <c r="AN48" i="32"/>
  <c r="AH48" i="32"/>
  <c r="AJ48" i="32"/>
  <c r="AL48" i="32" s="1"/>
  <c r="AM48" i="32"/>
  <c r="AF48" i="32"/>
  <c r="AG48" i="32"/>
  <c r="Y48" i="32"/>
  <c r="Z48" i="32"/>
  <c r="AA48" i="32" s="1"/>
  <c r="AB48" i="32" s="1"/>
  <c r="AC48" i="32" s="1"/>
  <c r="R48" i="32"/>
  <c r="S48" i="32" s="1"/>
  <c r="Q48" i="32"/>
  <c r="N48" i="32"/>
  <c r="O48" i="32"/>
  <c r="P48" i="32" s="1"/>
  <c r="M47" i="32"/>
  <c r="N47" i="32"/>
  <c r="O47" i="32" s="1"/>
  <c r="H48" i="32"/>
  <c r="BN47" i="32"/>
  <c r="BM47" i="32"/>
  <c r="BL47" i="32"/>
  <c r="BE47" i="32"/>
  <c r="BB47" i="32"/>
  <c r="BA47" i="32"/>
  <c r="AN47" i="32"/>
  <c r="AH47" i="32"/>
  <c r="AJ47" i="32"/>
  <c r="AL47" i="32" s="1"/>
  <c r="AM47" i="32"/>
  <c r="AF47" i="32"/>
  <c r="AG47" i="32"/>
  <c r="Y47" i="32"/>
  <c r="Z47" i="32"/>
  <c r="AA47" i="32" s="1"/>
  <c r="AB47" i="32" s="1"/>
  <c r="AC47" i="32" s="1"/>
  <c r="R47" i="32"/>
  <c r="S47" i="32" s="1"/>
  <c r="Q47" i="32"/>
  <c r="M46" i="32"/>
  <c r="N46" i="32"/>
  <c r="O46" i="32" s="1"/>
  <c r="H47" i="32"/>
  <c r="BN46" i="32"/>
  <c r="BM46" i="32"/>
  <c r="BL46" i="32"/>
  <c r="BE46" i="32"/>
  <c r="BF47" i="32" s="1"/>
  <c r="BG47" i="32"/>
  <c r="BH47" i="32" s="1"/>
  <c r="AV45" i="32"/>
  <c r="BA46" i="32"/>
  <c r="BE45" i="32"/>
  <c r="BF46" i="32" s="1"/>
  <c r="BG46" i="32" s="1"/>
  <c r="BH46" i="32" s="1"/>
  <c r="BB46" i="32"/>
  <c r="AV46" i="32"/>
  <c r="AN46" i="32"/>
  <c r="AH46" i="32"/>
  <c r="Y46" i="32"/>
  <c r="Z46" i="32" s="1"/>
  <c r="AA46" i="32" s="1"/>
  <c r="AF46" i="32"/>
  <c r="AG46" i="32" s="1"/>
  <c r="R46" i="32"/>
  <c r="S46" i="32" s="1"/>
  <c r="Q46" i="32"/>
  <c r="H46" i="32"/>
  <c r="BN45" i="32"/>
  <c r="BM45" i="32"/>
  <c r="BL45" i="32"/>
  <c r="M45" i="32"/>
  <c r="BB45" i="32"/>
  <c r="BA45" i="32"/>
  <c r="AV44" i="32"/>
  <c r="BE44" i="32"/>
  <c r="M44" i="32"/>
  <c r="AN45" i="32"/>
  <c r="AH45" i="32"/>
  <c r="AJ45" i="32"/>
  <c r="AL45" i="32" s="1"/>
  <c r="AM45" i="32" s="1"/>
  <c r="AF45" i="32"/>
  <c r="AG45" i="32"/>
  <c r="Y45" i="32"/>
  <c r="Z45" i="32"/>
  <c r="AA45" i="32" s="1"/>
  <c r="AP45" i="32" s="1"/>
  <c r="R45" i="32"/>
  <c r="S45" i="32" s="1"/>
  <c r="Q45" i="32"/>
  <c r="N45" i="32"/>
  <c r="O45" i="32"/>
  <c r="H45" i="32"/>
  <c r="BN44" i="32"/>
  <c r="BM44" i="32"/>
  <c r="BL44" i="32"/>
  <c r="BE43" i="32"/>
  <c r="BF44" i="32" s="1"/>
  <c r="BG44" i="32" s="1"/>
  <c r="BH44" i="32" s="1"/>
  <c r="BA44" i="32"/>
  <c r="M43" i="32"/>
  <c r="N43" i="32" s="1"/>
  <c r="BB44" i="32"/>
  <c r="AV43" i="32"/>
  <c r="AW43" i="32" s="1"/>
  <c r="AN44" i="32"/>
  <c r="AH44" i="32"/>
  <c r="AF44" i="32"/>
  <c r="AG44" i="32"/>
  <c r="Y44" i="32"/>
  <c r="Z44" i="32"/>
  <c r="AA44" i="32" s="1"/>
  <c r="AB44" i="32"/>
  <c r="AC44" i="32" s="1"/>
  <c r="R44" i="32"/>
  <c r="S44" i="32" s="1"/>
  <c r="Q44" i="32"/>
  <c r="N44" i="32"/>
  <c r="O44" i="32"/>
  <c r="P44" i="32" s="1"/>
  <c r="O43" i="32"/>
  <c r="H44" i="32"/>
  <c r="BN43" i="32"/>
  <c r="BM43" i="32"/>
  <c r="BL43" i="32"/>
  <c r="BE42" i="32"/>
  <c r="BA43" i="32"/>
  <c r="BF43" i="32"/>
  <c r="BG43" i="32" s="1"/>
  <c r="BH43" i="32" s="1"/>
  <c r="M42" i="32"/>
  <c r="BB43" i="32"/>
  <c r="AN43" i="32"/>
  <c r="AH43" i="32"/>
  <c r="AJ43" i="32" s="1"/>
  <c r="AL43" i="32" s="1"/>
  <c r="AM43" i="32" s="1"/>
  <c r="AF43" i="32"/>
  <c r="AG43" i="32" s="1"/>
  <c r="Y43" i="32"/>
  <c r="Z43" i="32" s="1"/>
  <c r="AA43" i="32" s="1"/>
  <c r="AB43" i="32" s="1"/>
  <c r="AC43" i="32"/>
  <c r="R43" i="32"/>
  <c r="S43" i="32"/>
  <c r="Q43" i="32"/>
  <c r="N42" i="32"/>
  <c r="O42" i="32" s="1"/>
  <c r="H43" i="32"/>
  <c r="BN42" i="32"/>
  <c r="BM42" i="32"/>
  <c r="BL42" i="32"/>
  <c r="AV41" i="32"/>
  <c r="BA42" i="32"/>
  <c r="BB42" i="32"/>
  <c r="AV42" i="32"/>
  <c r="AN42" i="32"/>
  <c r="AH42" i="32"/>
  <c r="AF42" i="32"/>
  <c r="AG42" i="32" s="1"/>
  <c r="Y42" i="32"/>
  <c r="Z42" i="32" s="1"/>
  <c r="AA42" i="32" s="1"/>
  <c r="R42" i="32"/>
  <c r="S42" i="32"/>
  <c r="Q42" i="32"/>
  <c r="H42" i="32"/>
  <c r="BN41" i="32"/>
  <c r="BM41" i="32"/>
  <c r="BL41" i="32"/>
  <c r="BE41" i="32"/>
  <c r="BF42" i="32" s="1"/>
  <c r="M41" i="32"/>
  <c r="N41" i="32" s="1"/>
  <c r="O41" i="32" s="1"/>
  <c r="BB41" i="32"/>
  <c r="BA41" i="32"/>
  <c r="BF41" i="32" s="1"/>
  <c r="BE40" i="32"/>
  <c r="M40" i="32"/>
  <c r="N40" i="32"/>
  <c r="O40" i="32" s="1"/>
  <c r="AV40" i="32"/>
  <c r="AN41" i="32"/>
  <c r="AH41" i="32"/>
  <c r="AJ41" i="32" s="1"/>
  <c r="AL41" i="32" s="1"/>
  <c r="AM41" i="32" s="1"/>
  <c r="AF41" i="32"/>
  <c r="AG41" i="32" s="1"/>
  <c r="Y41" i="32"/>
  <c r="Z41" i="32" s="1"/>
  <c r="AA41" i="32" s="1"/>
  <c r="AB41" i="32" s="1"/>
  <c r="AC41" i="32" s="1"/>
  <c r="R41" i="32"/>
  <c r="S41" i="32"/>
  <c r="Q41" i="32"/>
  <c r="H41" i="32"/>
  <c r="BN40" i="32"/>
  <c r="BM40" i="32"/>
  <c r="BL40" i="32"/>
  <c r="BE39" i="32"/>
  <c r="BA40" i="32"/>
  <c r="BF40" i="32"/>
  <c r="M39" i="32"/>
  <c r="BB40" i="32"/>
  <c r="AV39" i="32"/>
  <c r="BD40" i="32"/>
  <c r="AN40" i="32"/>
  <c r="AH40" i="32"/>
  <c r="AF40" i="32"/>
  <c r="AG40" i="32"/>
  <c r="Y40" i="32"/>
  <c r="Z40" i="32"/>
  <c r="AA40" i="32" s="1"/>
  <c r="R40" i="32"/>
  <c r="S40" i="32" s="1"/>
  <c r="Q40" i="32"/>
  <c r="H40" i="32"/>
  <c r="BN39" i="32"/>
  <c r="BM39" i="32"/>
  <c r="BL39" i="32"/>
  <c r="BB39" i="32"/>
  <c r="BA39" i="32"/>
  <c r="AH39" i="32"/>
  <c r="Y39" i="32"/>
  <c r="Z39" i="32" s="1"/>
  <c r="AA39" i="32" s="1"/>
  <c r="AN39" i="32"/>
  <c r="AJ39" i="32"/>
  <c r="AL39" i="32" s="1"/>
  <c r="AM39" i="32" s="1"/>
  <c r="AF39" i="32"/>
  <c r="AG39" i="32"/>
  <c r="R39" i="32"/>
  <c r="S39" i="32"/>
  <c r="Q39" i="32"/>
  <c r="H39" i="32"/>
  <c r="BN38" i="32"/>
  <c r="BM38" i="32"/>
  <c r="BL38" i="32"/>
  <c r="BE38" i="32"/>
  <c r="BF39" i="32" s="1"/>
  <c r="AV37" i="32"/>
  <c r="BA38" i="32"/>
  <c r="BB38" i="32"/>
  <c r="AV38" i="32"/>
  <c r="AN38" i="32"/>
  <c r="AH38" i="32"/>
  <c r="AF38" i="32"/>
  <c r="AG38" i="32" s="1"/>
  <c r="Y38" i="32"/>
  <c r="Z38" i="32" s="1"/>
  <c r="AA38" i="32"/>
  <c r="R38" i="32"/>
  <c r="S38" i="32"/>
  <c r="Q38" i="32"/>
  <c r="M38" i="32"/>
  <c r="H38" i="32"/>
  <c r="BN37" i="32"/>
  <c r="BM37" i="32"/>
  <c r="BL37" i="32"/>
  <c r="BE37" i="32"/>
  <c r="BF38" i="32"/>
  <c r="BG38" i="32" s="1"/>
  <c r="BH38" i="32" s="1"/>
  <c r="M37" i="32"/>
  <c r="BB37" i="32"/>
  <c r="BD37" i="32" s="1"/>
  <c r="BA37" i="32"/>
  <c r="BE36" i="32"/>
  <c r="BF37" i="32" s="1"/>
  <c r="BG37" i="32" s="1"/>
  <c r="BH37" i="32" s="1"/>
  <c r="M36" i="32"/>
  <c r="N36" i="32" s="1"/>
  <c r="O36" i="32" s="1"/>
  <c r="P36" i="32" s="1"/>
  <c r="AV36" i="32"/>
  <c r="AN37" i="32"/>
  <c r="AH37" i="32"/>
  <c r="AJ37" i="32"/>
  <c r="AL37" i="32" s="1"/>
  <c r="AM37" i="32"/>
  <c r="AF37" i="32"/>
  <c r="AG37" i="32"/>
  <c r="Y37" i="32"/>
  <c r="Z37" i="32"/>
  <c r="AA37" i="32" s="1"/>
  <c r="AP37" i="32" s="1"/>
  <c r="R37" i="32"/>
  <c r="S37" i="32" s="1"/>
  <c r="Q37" i="32"/>
  <c r="N37" i="32"/>
  <c r="O37" i="32"/>
  <c r="P37" i="32" s="1"/>
  <c r="H37" i="32"/>
  <c r="BN36" i="32"/>
  <c r="BM36" i="32"/>
  <c r="BL36" i="32"/>
  <c r="BB36" i="32"/>
  <c r="BA36" i="32"/>
  <c r="AV35" i="32"/>
  <c r="AN36" i="32"/>
  <c r="AH36" i="32"/>
  <c r="AJ36" i="32" s="1"/>
  <c r="AL36" i="32" s="1"/>
  <c r="AF36" i="32"/>
  <c r="AG36" i="32"/>
  <c r="Y36" i="32"/>
  <c r="Z36" i="32"/>
  <c r="AA36" i="32" s="1"/>
  <c r="AB36" i="32" s="1"/>
  <c r="AC36" i="32" s="1"/>
  <c r="R36" i="32"/>
  <c r="S36" i="32" s="1"/>
  <c r="Q36" i="32"/>
  <c r="M35" i="32"/>
  <c r="N35" i="32"/>
  <c r="O35" i="32" s="1"/>
  <c r="P35" i="32" s="1"/>
  <c r="H36" i="32"/>
  <c r="BN35" i="32"/>
  <c r="BM35" i="32"/>
  <c r="BL35" i="32"/>
  <c r="BE35" i="32"/>
  <c r="BB35" i="32"/>
  <c r="BD35" i="32" s="1"/>
  <c r="BA35" i="32"/>
  <c r="AH35" i="32"/>
  <c r="AJ35" i="32" s="1"/>
  <c r="AL35" i="32" s="1"/>
  <c r="AM35" i="32" s="1"/>
  <c r="Y35" i="32"/>
  <c r="Z35" i="32" s="1"/>
  <c r="AA35" i="32" s="1"/>
  <c r="AB35" i="32" s="1"/>
  <c r="AC35" i="32" s="1"/>
  <c r="AN35" i="32"/>
  <c r="AF35" i="32"/>
  <c r="AG35" i="32"/>
  <c r="R35" i="32"/>
  <c r="S35" i="32"/>
  <c r="Q35" i="32"/>
  <c r="H35" i="32"/>
  <c r="BN34" i="32"/>
  <c r="BM34" i="32"/>
  <c r="BL34" i="32"/>
  <c r="BE33" i="32"/>
  <c r="BA34" i="32"/>
  <c r="BF34" i="32"/>
  <c r="BG34" i="32" s="1"/>
  <c r="BH34" i="32" s="1"/>
  <c r="M33" i="32"/>
  <c r="BE34" i="32"/>
  <c r="BF35" i="32" s="1"/>
  <c r="BG35" i="32" s="1"/>
  <c r="BH35" i="32" s="1"/>
  <c r="M34" i="32"/>
  <c r="N34" i="32" s="1"/>
  <c r="O34" i="32" s="1"/>
  <c r="AV33" i="32"/>
  <c r="BB34" i="32"/>
  <c r="BD34" i="32" s="1"/>
  <c r="AV34" i="32"/>
  <c r="AN34" i="32"/>
  <c r="AH34" i="32"/>
  <c r="Y34" i="32"/>
  <c r="Z34" i="32" s="1"/>
  <c r="AA34" i="32" s="1"/>
  <c r="AF34" i="32"/>
  <c r="AG34" i="32" s="1"/>
  <c r="R34" i="32"/>
  <c r="S34" i="32" s="1"/>
  <c r="Q34" i="32"/>
  <c r="H34" i="32"/>
  <c r="BN33" i="32"/>
  <c r="BM33" i="32"/>
  <c r="BL33" i="32"/>
  <c r="BB33" i="32"/>
  <c r="BA33" i="32"/>
  <c r="BD33" i="32" s="1"/>
  <c r="AV32" i="32"/>
  <c r="BE32" i="32"/>
  <c r="M32" i="32"/>
  <c r="N32" i="32" s="1"/>
  <c r="O32" i="32" s="1"/>
  <c r="P32" i="32" s="1"/>
  <c r="AN33" i="32"/>
  <c r="AH33" i="32"/>
  <c r="AJ33" i="32" s="1"/>
  <c r="AL33" i="32" s="1"/>
  <c r="AM33" i="32" s="1"/>
  <c r="AF33" i="32"/>
  <c r="AG33" i="32" s="1"/>
  <c r="Y33" i="32"/>
  <c r="Z33" i="32" s="1"/>
  <c r="AA33" i="32" s="1"/>
  <c r="AB33" i="32" s="1"/>
  <c r="AC33" i="32" s="1"/>
  <c r="R33" i="32"/>
  <c r="S33" i="32"/>
  <c r="Q33" i="32"/>
  <c r="N33" i="32"/>
  <c r="O33" i="32" s="1"/>
  <c r="H33" i="32"/>
  <c r="BN32" i="32"/>
  <c r="BM32" i="32"/>
  <c r="BL32" i="32"/>
  <c r="BB32" i="32"/>
  <c r="BA32" i="32"/>
  <c r="AN32" i="32"/>
  <c r="AH32" i="32"/>
  <c r="AF32" i="32"/>
  <c r="AG32" i="32" s="1"/>
  <c r="Y32" i="32"/>
  <c r="Z32" i="32" s="1"/>
  <c r="AA32" i="32" s="1"/>
  <c r="R32" i="32"/>
  <c r="S32" i="32"/>
  <c r="Q32" i="32"/>
  <c r="M31" i="32"/>
  <c r="N31" i="32" s="1"/>
  <c r="O31" i="32" s="1"/>
  <c r="P31" i="32" s="1"/>
  <c r="M30" i="32"/>
  <c r="N30" i="32"/>
  <c r="O30" i="32" s="1"/>
  <c r="H32" i="32"/>
  <c r="BN31" i="32"/>
  <c r="BM31" i="32"/>
  <c r="BL31" i="32"/>
  <c r="BE31" i="32"/>
  <c r="BB31" i="32"/>
  <c r="BD31" i="32" s="1"/>
  <c r="BA31" i="32"/>
  <c r="AV31" i="32"/>
  <c r="AN31" i="32"/>
  <c r="AH31" i="32"/>
  <c r="AF31" i="32"/>
  <c r="AG31" i="32" s="1"/>
  <c r="Y31" i="32"/>
  <c r="Z31" i="32" s="1"/>
  <c r="AA31" i="32" s="1"/>
  <c r="AB31" i="32" s="1"/>
  <c r="AC31" i="32" s="1"/>
  <c r="R31" i="32"/>
  <c r="S31" i="32"/>
  <c r="Q31" i="32"/>
  <c r="H31" i="32"/>
  <c r="BN30" i="32"/>
  <c r="BM30" i="32"/>
  <c r="BL30" i="32"/>
  <c r="BE30" i="32"/>
  <c r="BF31" i="32" s="1"/>
  <c r="BG31" i="32"/>
  <c r="BH31" i="32" s="1"/>
  <c r="AV29" i="32"/>
  <c r="BA30" i="32"/>
  <c r="BB30" i="32"/>
  <c r="AV30" i="32"/>
  <c r="AN30" i="32"/>
  <c r="AH30" i="32"/>
  <c r="Y30" i="32"/>
  <c r="Z30" i="32" s="1"/>
  <c r="AA30" i="32" s="1"/>
  <c r="AF30" i="32"/>
  <c r="AG30" i="32" s="1"/>
  <c r="R30" i="32"/>
  <c r="S30" i="32" s="1"/>
  <c r="Q30" i="32"/>
  <c r="H30" i="32"/>
  <c r="BN29" i="32"/>
  <c r="BM29" i="32"/>
  <c r="BL29" i="32"/>
  <c r="BE29" i="32"/>
  <c r="BF30" i="32"/>
  <c r="BG30" i="32" s="1"/>
  <c r="BH30" i="32" s="1"/>
  <c r="M29" i="32"/>
  <c r="BB29" i="32"/>
  <c r="BD29" i="32" s="1"/>
  <c r="BA29" i="32"/>
  <c r="BE28" i="32"/>
  <c r="BF29" i="32" s="1"/>
  <c r="BG29" i="32" s="1"/>
  <c r="BH29" i="32" s="1"/>
  <c r="M28" i="32"/>
  <c r="N28" i="32" s="1"/>
  <c r="O28" i="32" s="1"/>
  <c r="AV28" i="32"/>
  <c r="AN29" i="32"/>
  <c r="AH29" i="32"/>
  <c r="AJ29" i="32" s="1"/>
  <c r="AL29" i="32"/>
  <c r="AM29" i="32" s="1"/>
  <c r="AF29" i="32"/>
  <c r="AG29" i="32" s="1"/>
  <c r="Y29" i="32"/>
  <c r="Z29" i="32" s="1"/>
  <c r="AA29" i="32" s="1"/>
  <c r="R29" i="32"/>
  <c r="S29" i="32"/>
  <c r="Q29" i="32"/>
  <c r="N29" i="32"/>
  <c r="O29" i="32" s="1"/>
  <c r="P29" i="32"/>
  <c r="H29" i="32"/>
  <c r="BN28" i="32"/>
  <c r="BM28" i="32"/>
  <c r="BL28" i="32"/>
  <c r="BE27" i="32"/>
  <c r="BF28" i="32" s="1"/>
  <c r="BA28" i="32"/>
  <c r="M27" i="32"/>
  <c r="N27" i="32" s="1"/>
  <c r="O27" i="32" s="1"/>
  <c r="P27" i="32" s="1"/>
  <c r="M26" i="32"/>
  <c r="N26" i="32"/>
  <c r="O26" i="32" s="1"/>
  <c r="BB28" i="32"/>
  <c r="AV27" i="32"/>
  <c r="AN28" i="32"/>
  <c r="AH28" i="32"/>
  <c r="AJ28" i="32" s="1"/>
  <c r="AL28" i="32"/>
  <c r="AM28" i="32" s="1"/>
  <c r="AF28" i="32"/>
  <c r="AG28" i="32" s="1"/>
  <c r="Y28" i="32"/>
  <c r="Z28" i="32" s="1"/>
  <c r="AA28" i="32" s="1"/>
  <c r="AB28" i="32" s="1"/>
  <c r="AC28" i="32" s="1"/>
  <c r="R28" i="32"/>
  <c r="S28" i="32"/>
  <c r="Q28" i="32"/>
  <c r="H28" i="32"/>
  <c r="BN27" i="32"/>
  <c r="BM27" i="32"/>
  <c r="BL27" i="32"/>
  <c r="BE26" i="32"/>
  <c r="BF27" i="32" s="1"/>
  <c r="BG27" i="32" s="1"/>
  <c r="BH27" i="32" s="1"/>
  <c r="BA27" i="32"/>
  <c r="BB27" i="32"/>
  <c r="AN27" i="32"/>
  <c r="AH27" i="32"/>
  <c r="AJ27" i="32"/>
  <c r="AL27" i="32" s="1"/>
  <c r="AM27" i="32" s="1"/>
  <c r="AF27" i="32"/>
  <c r="AG27" i="32"/>
  <c r="Y27" i="32"/>
  <c r="Z27" i="32"/>
  <c r="AA27" i="32" s="1"/>
  <c r="AB27" i="32" s="1"/>
  <c r="AP27" i="32"/>
  <c r="R27" i="32"/>
  <c r="S27" i="32"/>
  <c r="Q27" i="32"/>
  <c r="H27" i="32"/>
  <c r="BN26" i="32"/>
  <c r="BM26" i="32"/>
  <c r="BL26" i="32"/>
  <c r="BB26" i="32"/>
  <c r="BA26" i="32"/>
  <c r="AV26" i="32"/>
  <c r="AN26" i="32"/>
  <c r="AH26" i="32"/>
  <c r="AP26" i="32" s="1"/>
  <c r="Y26" i="32"/>
  <c r="Z26" i="32"/>
  <c r="AF26" i="32"/>
  <c r="AG26" i="32" s="1"/>
  <c r="R26" i="32"/>
  <c r="S26" i="32" s="1"/>
  <c r="Q26" i="32"/>
  <c r="H26" i="32"/>
  <c r="BN25" i="32"/>
  <c r="BM25" i="32"/>
  <c r="BL25" i="32"/>
  <c r="AV25" i="32"/>
  <c r="AN25" i="32"/>
  <c r="AH25" i="32"/>
  <c r="Y25" i="32"/>
  <c r="Z25" i="32" s="1"/>
  <c r="AP25" i="32" s="1"/>
  <c r="R25" i="32"/>
  <c r="S25" i="32"/>
  <c r="Q25" i="32"/>
  <c r="M25" i="32"/>
  <c r="N25" i="32" s="1"/>
  <c r="O25" i="32"/>
  <c r="P26" i="32" s="1"/>
  <c r="AB58" i="28"/>
  <c r="I57" i="28"/>
  <c r="AI57" i="28"/>
  <c r="AB57" i="28"/>
  <c r="I56" i="28"/>
  <c r="L56" i="28" s="1"/>
  <c r="I55" i="28"/>
  <c r="L55" i="28" s="1"/>
  <c r="G57" i="28"/>
  <c r="J57" i="28" s="1"/>
  <c r="G56" i="28"/>
  <c r="H57" i="28"/>
  <c r="AI56" i="28"/>
  <c r="AB56" i="28"/>
  <c r="I54" i="28"/>
  <c r="G55" i="28"/>
  <c r="H56" i="28"/>
  <c r="H55" i="28"/>
  <c r="K56" i="28"/>
  <c r="AI55" i="28"/>
  <c r="AB55" i="28"/>
  <c r="G54" i="28"/>
  <c r="G53" i="28"/>
  <c r="H54" i="28"/>
  <c r="K55" i="28"/>
  <c r="AI54" i="28"/>
  <c r="AB54" i="28"/>
  <c r="AI53" i="28"/>
  <c r="AB53" i="28"/>
  <c r="G52" i="28"/>
  <c r="I53" i="28"/>
  <c r="H53" i="28"/>
  <c r="K54" i="28" s="1"/>
  <c r="AI52" i="28"/>
  <c r="AB52" i="28"/>
  <c r="G51" i="28"/>
  <c r="J52" i="28"/>
  <c r="I52" i="28"/>
  <c r="L52" i="28" s="1"/>
  <c r="I51" i="28"/>
  <c r="H52" i="28"/>
  <c r="K52" i="28" s="1"/>
  <c r="H51" i="28"/>
  <c r="K51" i="28" s="1"/>
  <c r="AI51" i="28"/>
  <c r="AB51" i="28"/>
  <c r="I50" i="28"/>
  <c r="L51" i="28"/>
  <c r="G50" i="28"/>
  <c r="G49" i="28"/>
  <c r="H50" i="28"/>
  <c r="AI50" i="28"/>
  <c r="AB50" i="28"/>
  <c r="AI49" i="28"/>
  <c r="AB49" i="28"/>
  <c r="G48" i="28"/>
  <c r="J48" i="28" s="1"/>
  <c r="I49" i="28"/>
  <c r="H49" i="28"/>
  <c r="AI48" i="28"/>
  <c r="AB48" i="28"/>
  <c r="G47" i="28"/>
  <c r="J47" i="28" s="1"/>
  <c r="I48" i="28"/>
  <c r="I47" i="28"/>
  <c r="H48" i="28"/>
  <c r="H47" i="28"/>
  <c r="AI47" i="28"/>
  <c r="AB47" i="28"/>
  <c r="I46" i="28"/>
  <c r="G46" i="28"/>
  <c r="G45" i="28"/>
  <c r="J46" i="28"/>
  <c r="H46" i="28"/>
  <c r="AI46" i="28"/>
  <c r="AB46" i="28"/>
  <c r="AI45" i="28"/>
  <c r="AB45" i="28"/>
  <c r="G44" i="28"/>
  <c r="I45" i="28"/>
  <c r="H45" i="28"/>
  <c r="AI44" i="28"/>
  <c r="AB44" i="28"/>
  <c r="G43" i="28"/>
  <c r="I44" i="28"/>
  <c r="I43" i="28"/>
  <c r="H44" i="28"/>
  <c r="H43" i="28"/>
  <c r="AI43" i="28"/>
  <c r="AB43" i="28"/>
  <c r="I42" i="28"/>
  <c r="G42" i="28"/>
  <c r="G41" i="28"/>
  <c r="J42" i="28"/>
  <c r="H42" i="28"/>
  <c r="AI42" i="28"/>
  <c r="AB42" i="28"/>
  <c r="AI41" i="28"/>
  <c r="AB41" i="28"/>
  <c r="G40" i="28"/>
  <c r="J41" i="28"/>
  <c r="I41" i="28"/>
  <c r="H41" i="28"/>
  <c r="AI40" i="28"/>
  <c r="AB40" i="28"/>
  <c r="G39" i="28"/>
  <c r="J40" i="28"/>
  <c r="I40" i="28"/>
  <c r="I39" i="28"/>
  <c r="H40" i="28"/>
  <c r="H39" i="28"/>
  <c r="K40" i="28"/>
  <c r="AI39" i="28"/>
  <c r="AB39" i="28"/>
  <c r="I38" i="28"/>
  <c r="G38" i="28"/>
  <c r="J38" i="28" s="1"/>
  <c r="G37" i="28"/>
  <c r="J37" i="28" s="1"/>
  <c r="H38" i="28"/>
  <c r="AI38" i="28"/>
  <c r="AB38" i="28"/>
  <c r="AI37" i="28"/>
  <c r="AB37" i="28"/>
  <c r="G36" i="28"/>
  <c r="I37" i="28"/>
  <c r="H37" i="28"/>
  <c r="AI36" i="28"/>
  <c r="AB36" i="28"/>
  <c r="G35" i="28"/>
  <c r="J35" i="28" s="1"/>
  <c r="G34" i="28"/>
  <c r="J34" i="28" s="1"/>
  <c r="I36" i="28"/>
  <c r="L36" i="28" s="1"/>
  <c r="I35" i="28"/>
  <c r="H36" i="28"/>
  <c r="H35" i="28"/>
  <c r="K36" i="28" s="1"/>
  <c r="AI35" i="28"/>
  <c r="AB35" i="28"/>
  <c r="H34" i="28"/>
  <c r="K34" i="28" s="1"/>
  <c r="AI34" i="28"/>
  <c r="AB34" i="28"/>
  <c r="I34" i="28"/>
  <c r="I33" i="28"/>
  <c r="H33" i="28"/>
  <c r="AN33" i="28"/>
  <c r="AI33" i="28"/>
  <c r="AB33" i="28"/>
  <c r="I32" i="28"/>
  <c r="I31" i="28"/>
  <c r="L32" i="28"/>
  <c r="G33" i="28"/>
  <c r="AN32" i="28"/>
  <c r="AI32" i="28"/>
  <c r="AB32" i="28"/>
  <c r="O32" i="28"/>
  <c r="H32" i="28"/>
  <c r="H31" i="28"/>
  <c r="K31" i="28" s="1"/>
  <c r="H30" i="28"/>
  <c r="G32" i="28"/>
  <c r="G31" i="28"/>
  <c r="AN31" i="28"/>
  <c r="AP31" i="28"/>
  <c r="AI31" i="28"/>
  <c r="AG31" i="28"/>
  <c r="AD31" i="28"/>
  <c r="AE31" i="28"/>
  <c r="AB31" i="28"/>
  <c r="W31" i="28"/>
  <c r="U31" i="28"/>
  <c r="Q31" i="28"/>
  <c r="O31" i="28"/>
  <c r="I30" i="28"/>
  <c r="L31" i="28" s="1"/>
  <c r="AN30" i="28"/>
  <c r="AP30" i="28" s="1"/>
  <c r="AI30" i="28"/>
  <c r="AG30" i="28"/>
  <c r="AD30" i="28"/>
  <c r="AE30" i="28" s="1"/>
  <c r="AB30" i="28"/>
  <c r="W30" i="28"/>
  <c r="U30" i="28"/>
  <c r="Q30" i="28"/>
  <c r="O30" i="28"/>
  <c r="I29" i="28"/>
  <c r="L30" i="28"/>
  <c r="G30" i="28"/>
  <c r="AN29" i="28"/>
  <c r="AP29" i="28" s="1"/>
  <c r="AI29" i="28"/>
  <c r="AG29" i="28"/>
  <c r="AD29" i="28"/>
  <c r="AE29" i="28" s="1"/>
  <c r="AB29" i="28"/>
  <c r="W29" i="28"/>
  <c r="U29" i="28"/>
  <c r="Q29" i="28"/>
  <c r="O29" i="28"/>
  <c r="H29" i="28"/>
  <c r="K29" i="28" s="1"/>
  <c r="H28" i="28"/>
  <c r="K30" i="28"/>
  <c r="G29" i="28"/>
  <c r="AN28" i="28"/>
  <c r="AP28" i="28" s="1"/>
  <c r="AI28" i="28"/>
  <c r="AG28" i="28"/>
  <c r="AD28" i="28"/>
  <c r="AE28" i="28" s="1"/>
  <c r="AB28" i="28"/>
  <c r="W28" i="28"/>
  <c r="U28" i="28"/>
  <c r="Q28" i="28"/>
  <c r="O28" i="28"/>
  <c r="I28" i="28"/>
  <c r="L28" i="28" s="1"/>
  <c r="I27" i="28"/>
  <c r="L29" i="28"/>
  <c r="G28" i="28"/>
  <c r="J28" i="28" s="1"/>
  <c r="G27" i="28"/>
  <c r="J27" i="28" s="1"/>
  <c r="AN27" i="28"/>
  <c r="AP27" i="28" s="1"/>
  <c r="AI27" i="28"/>
  <c r="AG27" i="28"/>
  <c r="AD27" i="28"/>
  <c r="AE27" i="28" s="1"/>
  <c r="AB27" i="28"/>
  <c r="W27" i="28"/>
  <c r="U27" i="28"/>
  <c r="Q27" i="28"/>
  <c r="O27" i="28"/>
  <c r="H27" i="28"/>
  <c r="H26" i="28"/>
  <c r="H25" i="28"/>
  <c r="AN26" i="28"/>
  <c r="AP26" i="28" s="1"/>
  <c r="AI26" i="28"/>
  <c r="AG26" i="28"/>
  <c r="AD26" i="28"/>
  <c r="AE26" i="28" s="1"/>
  <c r="AB26" i="28"/>
  <c r="W26" i="28"/>
  <c r="U26" i="28"/>
  <c r="Q26" i="28"/>
  <c r="O26" i="28"/>
  <c r="G26" i="28"/>
  <c r="G25" i="28"/>
  <c r="J26" i="28" s="1"/>
  <c r="I26" i="28"/>
  <c r="I25" i="28"/>
  <c r="L26" i="28"/>
  <c r="AN25" i="28"/>
  <c r="AP25" i="28" s="1"/>
  <c r="AI25" i="28"/>
  <c r="AG25" i="28"/>
  <c r="AD25" i="28"/>
  <c r="AE25" i="28" s="1"/>
  <c r="AB25" i="28"/>
  <c r="W25" i="28"/>
  <c r="U25" i="28"/>
  <c r="Q25" i="28"/>
  <c r="O25" i="28"/>
  <c r="G24" i="28"/>
  <c r="AN24" i="28"/>
  <c r="AP24" i="28" s="1"/>
  <c r="AI24" i="28"/>
  <c r="AG24" i="28"/>
  <c r="AD24" i="28"/>
  <c r="AE24" i="28" s="1"/>
  <c r="AB24" i="28"/>
  <c r="W24" i="28"/>
  <c r="U24" i="28"/>
  <c r="Q24" i="28"/>
  <c r="O24" i="28"/>
  <c r="H24" i="28"/>
  <c r="H23" i="28"/>
  <c r="K24" i="28" s="1"/>
  <c r="H22" i="28"/>
  <c r="K23" i="28"/>
  <c r="I24" i="28"/>
  <c r="L25" i="28" s="1"/>
  <c r="K25" i="28"/>
  <c r="G23" i="28"/>
  <c r="J23" i="28" s="1"/>
  <c r="G22" i="28"/>
  <c r="AN23" i="28"/>
  <c r="AP23" i="28" s="1"/>
  <c r="AI23" i="28"/>
  <c r="AG23" i="28"/>
  <c r="AD23" i="28"/>
  <c r="AE23" i="28" s="1"/>
  <c r="AB23" i="28"/>
  <c r="W23" i="28"/>
  <c r="U23" i="28"/>
  <c r="Q23" i="28"/>
  <c r="O23" i="28"/>
  <c r="I23" i="28"/>
  <c r="I22" i="28"/>
  <c r="L24" i="28"/>
  <c r="AN22" i="28"/>
  <c r="AP22" i="28"/>
  <c r="AI22" i="28"/>
  <c r="AG22" i="28"/>
  <c r="AD22" i="28"/>
  <c r="AE22" i="28"/>
  <c r="AB22" i="28"/>
  <c r="W22" i="28"/>
  <c r="U22" i="28"/>
  <c r="Q22" i="28"/>
  <c r="O22" i="28"/>
  <c r="I21" i="28"/>
  <c r="AN21" i="28"/>
  <c r="AP21" i="28" s="1"/>
  <c r="AI21" i="28"/>
  <c r="AG21" i="28"/>
  <c r="AD21" i="28"/>
  <c r="AE21" i="28" s="1"/>
  <c r="AB21" i="28"/>
  <c r="W21" i="28"/>
  <c r="U21" i="28"/>
  <c r="Q21" i="28"/>
  <c r="O21" i="28"/>
  <c r="H21" i="28"/>
  <c r="H20" i="28"/>
  <c r="K22" i="28"/>
  <c r="G21" i="28"/>
  <c r="AN20" i="28"/>
  <c r="AP20" i="28" s="1"/>
  <c r="AI20" i="28"/>
  <c r="AG20" i="28"/>
  <c r="AD20" i="28"/>
  <c r="AE20" i="28" s="1"/>
  <c r="AB20" i="28"/>
  <c r="W20" i="28"/>
  <c r="U20" i="28"/>
  <c r="Q20" i="28"/>
  <c r="O20" i="28"/>
  <c r="I20" i="28"/>
  <c r="I19" i="28"/>
  <c r="L21" i="28"/>
  <c r="G20" i="28"/>
  <c r="G19" i="28"/>
  <c r="AN19" i="28"/>
  <c r="AP19" i="28" s="1"/>
  <c r="AI19" i="28"/>
  <c r="AG19" i="28"/>
  <c r="AD19" i="28"/>
  <c r="AE19" i="28" s="1"/>
  <c r="AB19" i="28"/>
  <c r="W19" i="28"/>
  <c r="U19" i="28"/>
  <c r="Q19" i="28"/>
  <c r="O19" i="28"/>
  <c r="H19" i="28"/>
  <c r="H18" i="28"/>
  <c r="H17" i="28"/>
  <c r="K18" i="28"/>
  <c r="AN18" i="28"/>
  <c r="AP18" i="28"/>
  <c r="AI18" i="28"/>
  <c r="AG18" i="28"/>
  <c r="AD18" i="28"/>
  <c r="AE18" i="28"/>
  <c r="AB18" i="28"/>
  <c r="W18" i="28"/>
  <c r="U18" i="28"/>
  <c r="Q18" i="28"/>
  <c r="O18" i="28"/>
  <c r="G18" i="28"/>
  <c r="J18" i="28" s="1"/>
  <c r="G17" i="28"/>
  <c r="J17" i="28" s="1"/>
  <c r="I18" i="28"/>
  <c r="I17" i="28"/>
  <c r="L18" i="28" s="1"/>
  <c r="AN17" i="28"/>
  <c r="AP17" i="28"/>
  <c r="AI17" i="28"/>
  <c r="AG17" i="28"/>
  <c r="AD17" i="28"/>
  <c r="AE17" i="28"/>
  <c r="AB17" i="28"/>
  <c r="W17" i="28"/>
  <c r="U17" i="28"/>
  <c r="Q17" i="28"/>
  <c r="O17" i="28"/>
  <c r="G16" i="28"/>
  <c r="AN16" i="28"/>
  <c r="AP16" i="28" s="1"/>
  <c r="AI16" i="28"/>
  <c r="I16" i="28"/>
  <c r="L17" i="28"/>
  <c r="H16" i="28"/>
  <c r="K17" i="28"/>
  <c r="G15" i="28"/>
  <c r="J16" i="28"/>
  <c r="AN15" i="28"/>
  <c r="AP15" i="28"/>
  <c r="AI15" i="28"/>
  <c r="I15" i="28"/>
  <c r="H15" i="28"/>
  <c r="H14" i="28"/>
  <c r="K15" i="28"/>
  <c r="AN14" i="28"/>
  <c r="AP14" i="28"/>
  <c r="AI14" i="28"/>
  <c r="G14" i="28"/>
  <c r="J15" i="28" s="1"/>
  <c r="G13" i="28"/>
  <c r="I14" i="28"/>
  <c r="AN13" i="28"/>
  <c r="AP13" i="28" s="1"/>
  <c r="AI13" i="28"/>
  <c r="G12" i="28"/>
  <c r="G11" i="28"/>
  <c r="I13" i="28"/>
  <c r="H13" i="28"/>
  <c r="K14" i="28"/>
  <c r="AN12" i="28"/>
  <c r="AP12" i="28"/>
  <c r="AI12" i="28"/>
  <c r="I12" i="28"/>
  <c r="H12" i="28"/>
  <c r="K13" i="28" s="1"/>
  <c r="G10" i="28"/>
  <c r="AN11" i="28"/>
  <c r="AP11" i="28" s="1"/>
  <c r="AI11" i="28"/>
  <c r="I11" i="28"/>
  <c r="H11" i="28"/>
  <c r="H10" i="28"/>
  <c r="K11" i="28"/>
  <c r="AN10" i="28"/>
  <c r="AP10" i="28"/>
  <c r="AI10" i="28"/>
  <c r="G9" i="28"/>
  <c r="I10" i="28"/>
  <c r="AN9" i="28"/>
  <c r="AP9" i="28"/>
  <c r="AI9" i="28"/>
  <c r="G8" i="28"/>
  <c r="I9" i="28"/>
  <c r="I8" i="28"/>
  <c r="H9" i="28"/>
  <c r="AN8" i="28"/>
  <c r="AP8" i="28"/>
  <c r="AI8" i="28"/>
  <c r="I7" i="28"/>
  <c r="H8" i="28"/>
  <c r="G7" i="28"/>
  <c r="J7" i="28" s="1"/>
  <c r="G6" i="28"/>
  <c r="AN7" i="28"/>
  <c r="AP7" i="28" s="1"/>
  <c r="AI7" i="28"/>
  <c r="H7" i="28"/>
  <c r="H6" i="28"/>
  <c r="H5" i="28"/>
  <c r="AN6" i="28"/>
  <c r="AP6" i="28" s="1"/>
  <c r="AI6" i="28"/>
  <c r="G5" i="28"/>
  <c r="G4" i="28"/>
  <c r="I6" i="28"/>
  <c r="AN5" i="28"/>
  <c r="AP5" i="28"/>
  <c r="AI5" i="28"/>
  <c r="G3" i="28"/>
  <c r="I5" i="28"/>
  <c r="AN4" i="28"/>
  <c r="AP4" i="28"/>
  <c r="AI4" i="28"/>
  <c r="H4" i="28"/>
  <c r="K4" i="28" s="1"/>
  <c r="H3" i="28"/>
  <c r="Q72" i="37"/>
  <c r="P72" i="37"/>
  <c r="Q71" i="37"/>
  <c r="P71" i="37"/>
  <c r="Q70" i="37"/>
  <c r="P70" i="37"/>
  <c r="Q69" i="37"/>
  <c r="P69" i="37"/>
  <c r="Q68" i="37"/>
  <c r="P68" i="37"/>
  <c r="Q67" i="37"/>
  <c r="P67" i="37"/>
  <c r="Q66" i="37"/>
  <c r="P66" i="37"/>
  <c r="Q65" i="37"/>
  <c r="P65" i="37"/>
  <c r="Q64" i="37"/>
  <c r="P64" i="37"/>
  <c r="Q63" i="37"/>
  <c r="P63" i="37"/>
  <c r="Q62" i="37"/>
  <c r="P62" i="37"/>
  <c r="Q61" i="37"/>
  <c r="P61" i="37"/>
  <c r="AR16" i="37"/>
  <c r="AR15" i="37"/>
  <c r="AR14" i="37"/>
  <c r="AR13" i="37"/>
  <c r="AR12" i="37"/>
  <c r="AR11" i="37"/>
  <c r="AR10" i="37"/>
  <c r="AR9" i="37"/>
  <c r="AR8" i="37"/>
  <c r="AR7" i="37"/>
  <c r="AR6" i="37"/>
  <c r="AR5" i="37"/>
  <c r="Q32" i="27"/>
  <c r="K32" i="27"/>
  <c r="L32" i="27"/>
  <c r="Q31" i="27"/>
  <c r="K31" i="27"/>
  <c r="L31" i="27" s="1"/>
  <c r="Q30" i="27"/>
  <c r="J30" i="27"/>
  <c r="L30" i="27" s="1"/>
  <c r="K30" i="27"/>
  <c r="Q29" i="27"/>
  <c r="J29" i="27"/>
  <c r="L29" i="27" s="1"/>
  <c r="K29" i="27"/>
  <c r="Q28" i="27"/>
  <c r="J28" i="27"/>
  <c r="L28" i="27" s="1"/>
  <c r="K28" i="27"/>
  <c r="Q27" i="27"/>
  <c r="J27" i="27"/>
  <c r="L27" i="27" s="1"/>
  <c r="K27" i="27"/>
  <c r="Q26" i="27"/>
  <c r="J26" i="27"/>
  <c r="L26" i="27" s="1"/>
  <c r="K26" i="27"/>
  <c r="Q25" i="27"/>
  <c r="J25" i="27"/>
  <c r="L25" i="27" s="1"/>
  <c r="K25" i="27"/>
  <c r="Q24" i="27"/>
  <c r="J24" i="27"/>
  <c r="L24" i="27" s="1"/>
  <c r="K24" i="27"/>
  <c r="Q23" i="27"/>
  <c r="K23" i="27"/>
  <c r="L23" i="27"/>
  <c r="Q22" i="27"/>
  <c r="N22" i="27"/>
  <c r="L22" i="27"/>
  <c r="Q21" i="27"/>
  <c r="L21" i="27"/>
  <c r="Q20" i="27"/>
  <c r="L20" i="27"/>
  <c r="Q19" i="27"/>
  <c r="L19" i="27"/>
  <c r="Q18" i="27"/>
  <c r="L18" i="27"/>
  <c r="Q17" i="27"/>
  <c r="Q16" i="27"/>
  <c r="Q15" i="27"/>
  <c r="Q14" i="27"/>
  <c r="Q13" i="27"/>
  <c r="Q12" i="27"/>
  <c r="Q11" i="27"/>
  <c r="Q10" i="27"/>
  <c r="Q9" i="27"/>
  <c r="Q8" i="27"/>
  <c r="Q7" i="27"/>
  <c r="Q6" i="27"/>
  <c r="Q5" i="27"/>
  <c r="Q4" i="27"/>
  <c r="H58" i="53"/>
  <c r="B56" i="89" s="1"/>
  <c r="H57" i="53"/>
  <c r="B55" i="89" s="1"/>
  <c r="H56" i="53"/>
  <c r="B54" i="89" s="1"/>
  <c r="H57" i="58"/>
  <c r="H55" i="53"/>
  <c r="H54" i="53"/>
  <c r="B52" i="89" s="1"/>
  <c r="O54" i="53"/>
  <c r="P54" i="53" s="1"/>
  <c r="C52" i="88" s="1"/>
  <c r="H53" i="53"/>
  <c r="B51" i="89" s="1"/>
  <c r="H52" i="53"/>
  <c r="H51" i="53"/>
  <c r="B49" i="89" s="1"/>
  <c r="H50" i="53"/>
  <c r="B48" i="89" s="1"/>
  <c r="I50" i="53"/>
  <c r="J50" i="53" s="1"/>
  <c r="H49" i="53"/>
  <c r="B47" i="89" s="1"/>
  <c r="I49" i="53"/>
  <c r="H48" i="53"/>
  <c r="B46" i="89" s="1"/>
  <c r="I48" i="53"/>
  <c r="H47" i="53"/>
  <c r="B45" i="89" s="1"/>
  <c r="O47" i="53"/>
  <c r="P47" i="53" s="1"/>
  <c r="C45" i="88" s="1"/>
  <c r="H46" i="53"/>
  <c r="B44" i="89" s="1"/>
  <c r="H45" i="53"/>
  <c r="H44" i="53"/>
  <c r="B42" i="89" s="1"/>
  <c r="H43" i="53"/>
  <c r="B41" i="89" s="1"/>
  <c r="I43" i="53"/>
  <c r="H42" i="53"/>
  <c r="B40" i="89" s="1"/>
  <c r="I42" i="53"/>
  <c r="J42" i="53" s="1"/>
  <c r="H41" i="53"/>
  <c r="B39" i="89" s="1"/>
  <c r="I41" i="53"/>
  <c r="H40" i="53"/>
  <c r="B38" i="89" s="1"/>
  <c r="H39" i="53"/>
  <c r="B37" i="89" s="1"/>
  <c r="H38" i="53"/>
  <c r="H37" i="53"/>
  <c r="B35" i="89" s="1"/>
  <c r="H26" i="68"/>
  <c r="G26" i="68"/>
  <c r="S59" i="3"/>
  <c r="S58" i="3"/>
  <c r="S57" i="3"/>
  <c r="S56" i="3"/>
  <c r="S55" i="3"/>
  <c r="S54" i="3"/>
  <c r="S53" i="3"/>
  <c r="S52" i="3"/>
  <c r="S51" i="3"/>
  <c r="S50" i="3"/>
  <c r="S49" i="3"/>
  <c r="S48" i="3"/>
  <c r="S47" i="3"/>
  <c r="S46" i="3"/>
  <c r="S45" i="3"/>
  <c r="S44" i="3"/>
  <c r="S42" i="3"/>
  <c r="S41" i="3"/>
  <c r="S40" i="3"/>
  <c r="S39" i="3"/>
  <c r="S38" i="3"/>
  <c r="S37" i="3"/>
  <c r="S36" i="3"/>
  <c r="S35" i="3"/>
  <c r="S34" i="3"/>
  <c r="S33" i="3"/>
  <c r="S32" i="3"/>
  <c r="S31" i="3"/>
  <c r="S30" i="3"/>
  <c r="S29" i="3"/>
  <c r="S28" i="3"/>
  <c r="S27" i="3"/>
  <c r="S26" i="3"/>
  <c r="S25" i="3"/>
  <c r="S23" i="3"/>
  <c r="S22" i="3"/>
  <c r="S21" i="3"/>
  <c r="S20" i="3"/>
  <c r="S19" i="3"/>
  <c r="S18" i="3"/>
  <c r="S17" i="3"/>
  <c r="S16" i="3"/>
  <c r="S15" i="3"/>
  <c r="S14" i="3"/>
  <c r="S13" i="3"/>
  <c r="S12" i="3"/>
  <c r="S11" i="3"/>
  <c r="S10" i="3"/>
  <c r="S9" i="3"/>
  <c r="S8" i="3"/>
  <c r="S7" i="3"/>
  <c r="F6" i="3"/>
  <c r="E59" i="7"/>
  <c r="E58" i="7"/>
  <c r="E57" i="7"/>
  <c r="E56" i="7"/>
  <c r="E55" i="7"/>
  <c r="E54" i="7"/>
  <c r="E53" i="7"/>
  <c r="E52" i="7"/>
  <c r="E51" i="7"/>
  <c r="E50" i="7"/>
  <c r="E49" i="7"/>
  <c r="E48" i="7"/>
  <c r="E47" i="7"/>
  <c r="E46" i="7"/>
  <c r="E45" i="7"/>
  <c r="E44" i="7"/>
  <c r="E43" i="7"/>
  <c r="E42" i="7"/>
  <c r="E41" i="7"/>
  <c r="E40" i="7"/>
  <c r="E39" i="7"/>
  <c r="E38" i="7"/>
  <c r="E37" i="7"/>
  <c r="E36" i="7"/>
  <c r="E35" i="7"/>
  <c r="C23" i="7"/>
  <c r="C22" i="7"/>
  <c r="C21" i="7"/>
  <c r="C20" i="7"/>
  <c r="C19" i="7"/>
  <c r="C18" i="7"/>
  <c r="C17" i="7"/>
  <c r="C16" i="7"/>
  <c r="C15" i="7"/>
  <c r="C13" i="7"/>
  <c r="C12" i="7"/>
  <c r="T59" i="6"/>
  <c r="K59" i="6"/>
  <c r="T58" i="6"/>
  <c r="K58" i="6"/>
  <c r="T57" i="6"/>
  <c r="K57" i="6"/>
  <c r="T56" i="6"/>
  <c r="K56" i="6"/>
  <c r="T55" i="6"/>
  <c r="K55" i="6"/>
  <c r="T54" i="6"/>
  <c r="K54" i="6"/>
  <c r="T53" i="6"/>
  <c r="K53" i="6"/>
  <c r="T52" i="6"/>
  <c r="K52" i="6"/>
  <c r="T51" i="6"/>
  <c r="K51" i="6"/>
  <c r="T50" i="6"/>
  <c r="K50" i="6"/>
  <c r="T49" i="6"/>
  <c r="K49" i="6"/>
  <c r="T48" i="6"/>
  <c r="K48" i="6"/>
  <c r="T47" i="6"/>
  <c r="K47" i="6"/>
  <c r="T46" i="6"/>
  <c r="K46" i="6"/>
  <c r="T45" i="6"/>
  <c r="K45" i="6"/>
  <c r="T44" i="6"/>
  <c r="K44" i="6"/>
  <c r="T43" i="6"/>
  <c r="K43" i="6"/>
  <c r="T42" i="6"/>
  <c r="K42" i="6"/>
  <c r="T41" i="6"/>
  <c r="K41" i="6"/>
  <c r="T40" i="6"/>
  <c r="K40" i="6"/>
  <c r="T39" i="6"/>
  <c r="K39" i="6"/>
  <c r="T38" i="6"/>
  <c r="K38" i="6"/>
  <c r="T37" i="6"/>
  <c r="K37" i="6"/>
  <c r="T36" i="6"/>
  <c r="K36" i="6"/>
  <c r="T35" i="6"/>
  <c r="K35" i="6"/>
  <c r="T34" i="6"/>
  <c r="K34" i="6"/>
  <c r="T33" i="6"/>
  <c r="K33" i="6"/>
  <c r="T32" i="6"/>
  <c r="K32" i="6"/>
  <c r="T31" i="6"/>
  <c r="K31" i="6"/>
  <c r="T30" i="6"/>
  <c r="K30" i="6"/>
  <c r="T29" i="6"/>
  <c r="K29" i="6"/>
  <c r="T28" i="6"/>
  <c r="K28" i="6"/>
  <c r="T27" i="6"/>
  <c r="K27" i="6"/>
  <c r="T26" i="6"/>
  <c r="K26" i="6"/>
  <c r="T25" i="6"/>
  <c r="K25" i="6"/>
  <c r="T24" i="6"/>
  <c r="T23" i="6"/>
  <c r="T22" i="6"/>
  <c r="T21" i="6"/>
  <c r="T20" i="6"/>
  <c r="T19" i="6"/>
  <c r="T18" i="6"/>
  <c r="T17" i="6"/>
  <c r="T16" i="6"/>
  <c r="T15" i="6"/>
  <c r="T14" i="6"/>
  <c r="T13" i="6"/>
  <c r="T12" i="6"/>
  <c r="T11" i="6"/>
  <c r="T10" i="6"/>
  <c r="T9" i="6"/>
  <c r="T8" i="6"/>
  <c r="U8" i="6" s="1"/>
  <c r="E693" i="63"/>
  <c r="B681" i="85" s="1"/>
  <c r="D693" i="63"/>
  <c r="E692" i="63"/>
  <c r="B680" i="85" s="1"/>
  <c r="D692" i="63"/>
  <c r="E691" i="63"/>
  <c r="B679" i="85" s="1"/>
  <c r="D691" i="63"/>
  <c r="E690" i="63"/>
  <c r="B678" i="85" s="1"/>
  <c r="D690" i="63"/>
  <c r="E689" i="63"/>
  <c r="B677" i="85" s="1"/>
  <c r="D689" i="63"/>
  <c r="E688" i="63"/>
  <c r="B676" i="85" s="1"/>
  <c r="D688" i="63"/>
  <c r="E687" i="63"/>
  <c r="B675" i="85" s="1"/>
  <c r="D687" i="63"/>
  <c r="E686" i="63"/>
  <c r="B674" i="85" s="1"/>
  <c r="D686" i="63"/>
  <c r="E685" i="63"/>
  <c r="B673" i="85" s="1"/>
  <c r="D685" i="63"/>
  <c r="E684" i="63"/>
  <c r="B672" i="85" s="1"/>
  <c r="D684" i="63"/>
  <c r="E683" i="63"/>
  <c r="B671" i="85" s="1"/>
  <c r="D683" i="63"/>
  <c r="E682" i="63"/>
  <c r="B670" i="85" s="1"/>
  <c r="D682" i="63"/>
  <c r="E681" i="63"/>
  <c r="B669" i="85" s="1"/>
  <c r="D681" i="63"/>
  <c r="E680" i="63"/>
  <c r="B668" i="85" s="1"/>
  <c r="D680" i="63"/>
  <c r="E679" i="63"/>
  <c r="B667" i="85" s="1"/>
  <c r="D679" i="63"/>
  <c r="E678" i="63"/>
  <c r="B666" i="85" s="1"/>
  <c r="D678" i="63"/>
  <c r="E677" i="63"/>
  <c r="B665" i="85" s="1"/>
  <c r="D677" i="63"/>
  <c r="E676" i="63"/>
  <c r="B664" i="85" s="1"/>
  <c r="D676" i="63"/>
  <c r="E675" i="63"/>
  <c r="B663" i="85" s="1"/>
  <c r="D675" i="63"/>
  <c r="E674" i="63"/>
  <c r="B662" i="85" s="1"/>
  <c r="D674" i="63"/>
  <c r="E673" i="63"/>
  <c r="B661" i="85" s="1"/>
  <c r="D673" i="63"/>
  <c r="E672" i="63"/>
  <c r="B660" i="85" s="1"/>
  <c r="D672" i="63"/>
  <c r="E671" i="63"/>
  <c r="B659" i="85" s="1"/>
  <c r="D671" i="63"/>
  <c r="E670" i="63"/>
  <c r="B658" i="85" s="1"/>
  <c r="D670" i="63"/>
  <c r="E669" i="63"/>
  <c r="B657" i="85" s="1"/>
  <c r="D669" i="63"/>
  <c r="E668" i="63"/>
  <c r="B656" i="85" s="1"/>
  <c r="D668" i="63"/>
  <c r="E667" i="63"/>
  <c r="B655" i="85" s="1"/>
  <c r="D667" i="63"/>
  <c r="E666" i="63"/>
  <c r="B654" i="85" s="1"/>
  <c r="D666" i="63"/>
  <c r="E665" i="63"/>
  <c r="B653" i="85" s="1"/>
  <c r="D665" i="63"/>
  <c r="E664" i="63"/>
  <c r="B652" i="85" s="1"/>
  <c r="D664" i="63"/>
  <c r="E663" i="63"/>
  <c r="B651" i="85" s="1"/>
  <c r="D663" i="63"/>
  <c r="E662" i="63"/>
  <c r="B650" i="85" s="1"/>
  <c r="D662" i="63"/>
  <c r="E661" i="63"/>
  <c r="B649" i="85" s="1"/>
  <c r="D661" i="63"/>
  <c r="E660" i="63"/>
  <c r="B648" i="85" s="1"/>
  <c r="D660" i="63"/>
  <c r="E659" i="63"/>
  <c r="B647" i="85" s="1"/>
  <c r="D659" i="63"/>
  <c r="E658" i="63"/>
  <c r="B646" i="85" s="1"/>
  <c r="D658" i="63"/>
  <c r="E657" i="63"/>
  <c r="B645" i="85" s="1"/>
  <c r="D657" i="63"/>
  <c r="E656" i="63"/>
  <c r="B644" i="85" s="1"/>
  <c r="D656" i="63"/>
  <c r="E655" i="63"/>
  <c r="B643" i="85" s="1"/>
  <c r="D655" i="63"/>
  <c r="E654" i="63"/>
  <c r="B642" i="85" s="1"/>
  <c r="D654" i="63"/>
  <c r="E653" i="63"/>
  <c r="B641" i="85" s="1"/>
  <c r="D653" i="63"/>
  <c r="E652" i="63"/>
  <c r="B640" i="85" s="1"/>
  <c r="D652" i="63"/>
  <c r="E651" i="63"/>
  <c r="B639" i="85" s="1"/>
  <c r="D651" i="63"/>
  <c r="E650" i="63"/>
  <c r="B638" i="85" s="1"/>
  <c r="D650" i="63"/>
  <c r="E649" i="63"/>
  <c r="B637" i="85" s="1"/>
  <c r="D649" i="63"/>
  <c r="E648" i="63"/>
  <c r="B636" i="85" s="1"/>
  <c r="D648" i="63"/>
  <c r="E647" i="63"/>
  <c r="B635" i="85" s="1"/>
  <c r="D647" i="63"/>
  <c r="E646" i="63"/>
  <c r="B634" i="85" s="1"/>
  <c r="D646" i="63"/>
  <c r="E645" i="63"/>
  <c r="B633" i="85" s="1"/>
  <c r="D645" i="63"/>
  <c r="E644" i="63"/>
  <c r="B632" i="85" s="1"/>
  <c r="D644" i="63"/>
  <c r="E643" i="63"/>
  <c r="B631" i="85" s="1"/>
  <c r="D643" i="63"/>
  <c r="E642" i="63"/>
  <c r="B630" i="85" s="1"/>
  <c r="D642" i="63"/>
  <c r="E641" i="63"/>
  <c r="B629" i="85" s="1"/>
  <c r="D641" i="63"/>
  <c r="E640" i="63"/>
  <c r="B628" i="85" s="1"/>
  <c r="D640" i="63"/>
  <c r="E639" i="63"/>
  <c r="B627" i="85" s="1"/>
  <c r="D639" i="63"/>
  <c r="E638" i="63"/>
  <c r="B626" i="85" s="1"/>
  <c r="D638" i="63"/>
  <c r="E637" i="63"/>
  <c r="B625" i="85" s="1"/>
  <c r="D637" i="63"/>
  <c r="E636" i="63"/>
  <c r="B624" i="85" s="1"/>
  <c r="D636" i="63"/>
  <c r="E635" i="63"/>
  <c r="B623" i="85" s="1"/>
  <c r="D635" i="63"/>
  <c r="E634" i="63"/>
  <c r="B622" i="85" s="1"/>
  <c r="D634" i="63"/>
  <c r="E633" i="63"/>
  <c r="B621" i="85" s="1"/>
  <c r="D633" i="63"/>
  <c r="E632" i="63"/>
  <c r="B620" i="85" s="1"/>
  <c r="D632" i="63"/>
  <c r="E631" i="63"/>
  <c r="B619" i="85" s="1"/>
  <c r="D631" i="63"/>
  <c r="E630" i="63"/>
  <c r="B618" i="85" s="1"/>
  <c r="D630" i="63"/>
  <c r="E629" i="63"/>
  <c r="B617" i="85" s="1"/>
  <c r="D629" i="63"/>
  <c r="E628" i="63"/>
  <c r="B616" i="85" s="1"/>
  <c r="D628" i="63"/>
  <c r="E627" i="63"/>
  <c r="B615" i="85" s="1"/>
  <c r="D627" i="63"/>
  <c r="E626" i="63"/>
  <c r="B614" i="85" s="1"/>
  <c r="D626" i="63"/>
  <c r="E625" i="63"/>
  <c r="B613" i="85" s="1"/>
  <c r="D625" i="63"/>
  <c r="E624" i="63"/>
  <c r="B612" i="85" s="1"/>
  <c r="D624" i="63"/>
  <c r="E623" i="63"/>
  <c r="B611" i="85" s="1"/>
  <c r="D623" i="63"/>
  <c r="E622" i="63"/>
  <c r="B610" i="85" s="1"/>
  <c r="D622" i="63"/>
  <c r="E621" i="63"/>
  <c r="B609" i="85" s="1"/>
  <c r="D621" i="63"/>
  <c r="E620" i="63"/>
  <c r="B608" i="85" s="1"/>
  <c r="D620" i="63"/>
  <c r="E619" i="63"/>
  <c r="B607" i="85" s="1"/>
  <c r="D619" i="63"/>
  <c r="E618" i="63"/>
  <c r="B606" i="85" s="1"/>
  <c r="D618" i="63"/>
  <c r="E617" i="63"/>
  <c r="B605" i="85" s="1"/>
  <c r="D617" i="63"/>
  <c r="E616" i="63"/>
  <c r="B604" i="85" s="1"/>
  <c r="D616" i="63"/>
  <c r="E615" i="63"/>
  <c r="B603" i="85" s="1"/>
  <c r="D615" i="63"/>
  <c r="E614" i="63"/>
  <c r="B602" i="85" s="1"/>
  <c r="D614" i="63"/>
  <c r="E613" i="63"/>
  <c r="B601" i="85" s="1"/>
  <c r="D613" i="63"/>
  <c r="E612" i="63"/>
  <c r="B600" i="85" s="1"/>
  <c r="D612" i="63"/>
  <c r="E611" i="63"/>
  <c r="B599" i="85" s="1"/>
  <c r="D611" i="63"/>
  <c r="E610" i="63"/>
  <c r="B598" i="85" s="1"/>
  <c r="D610" i="63"/>
  <c r="E609" i="63"/>
  <c r="B597" i="85" s="1"/>
  <c r="D609" i="63"/>
  <c r="E608" i="63"/>
  <c r="B596" i="85" s="1"/>
  <c r="D608" i="63"/>
  <c r="E607" i="63"/>
  <c r="B595" i="85" s="1"/>
  <c r="D607" i="63"/>
  <c r="E606" i="63"/>
  <c r="B594" i="85" s="1"/>
  <c r="D606" i="63"/>
  <c r="E605" i="63"/>
  <c r="B593" i="85" s="1"/>
  <c r="D605" i="63"/>
  <c r="E604" i="63"/>
  <c r="B592" i="85" s="1"/>
  <c r="D604" i="63"/>
  <c r="E603" i="63"/>
  <c r="B591" i="85" s="1"/>
  <c r="D603" i="63"/>
  <c r="E602" i="63"/>
  <c r="B590" i="85" s="1"/>
  <c r="D602" i="63"/>
  <c r="E601" i="63"/>
  <c r="B589" i="85" s="1"/>
  <c r="D601" i="63"/>
  <c r="E600" i="63"/>
  <c r="B588" i="85" s="1"/>
  <c r="D600" i="63"/>
  <c r="E599" i="63"/>
  <c r="B587" i="85" s="1"/>
  <c r="D599" i="63"/>
  <c r="E598" i="63"/>
  <c r="B586" i="85" s="1"/>
  <c r="D598" i="63"/>
  <c r="E597" i="63"/>
  <c r="B585" i="85" s="1"/>
  <c r="D597" i="63"/>
  <c r="E596" i="63"/>
  <c r="B584" i="85" s="1"/>
  <c r="D596" i="63"/>
  <c r="E595" i="63"/>
  <c r="B583" i="85" s="1"/>
  <c r="D595" i="63"/>
  <c r="E594" i="63"/>
  <c r="B582" i="85" s="1"/>
  <c r="D594" i="63"/>
  <c r="E593" i="63"/>
  <c r="B581" i="85" s="1"/>
  <c r="D593" i="63"/>
  <c r="E592" i="63"/>
  <c r="B580" i="85" s="1"/>
  <c r="D592" i="63"/>
  <c r="E591" i="63"/>
  <c r="B579" i="85" s="1"/>
  <c r="D591" i="63"/>
  <c r="E590" i="63"/>
  <c r="B578" i="85" s="1"/>
  <c r="D590" i="63"/>
  <c r="E589" i="63"/>
  <c r="B577" i="85" s="1"/>
  <c r="D589" i="63"/>
  <c r="E588" i="63"/>
  <c r="B576" i="85" s="1"/>
  <c r="D588" i="63"/>
  <c r="E587" i="63"/>
  <c r="B575" i="85" s="1"/>
  <c r="D587" i="63"/>
  <c r="E586" i="63"/>
  <c r="B574" i="85" s="1"/>
  <c r="D586" i="63"/>
  <c r="E585" i="63"/>
  <c r="B573" i="85" s="1"/>
  <c r="D585" i="63"/>
  <c r="E584" i="63"/>
  <c r="B572" i="85" s="1"/>
  <c r="D584" i="63"/>
  <c r="E583" i="63"/>
  <c r="B571" i="85" s="1"/>
  <c r="D583" i="63"/>
  <c r="E582" i="63"/>
  <c r="B570" i="85" s="1"/>
  <c r="D582" i="63"/>
  <c r="E581" i="63"/>
  <c r="B569" i="85" s="1"/>
  <c r="D581" i="63"/>
  <c r="E580" i="63"/>
  <c r="B568" i="85" s="1"/>
  <c r="D580" i="63"/>
  <c r="E579" i="63"/>
  <c r="B567" i="85" s="1"/>
  <c r="D579" i="63"/>
  <c r="E578" i="63"/>
  <c r="B566" i="85" s="1"/>
  <c r="D578" i="63"/>
  <c r="E577" i="63"/>
  <c r="B565" i="85" s="1"/>
  <c r="D577" i="63"/>
  <c r="E576" i="63"/>
  <c r="B564" i="85" s="1"/>
  <c r="D576" i="63"/>
  <c r="E575" i="63"/>
  <c r="B563" i="85" s="1"/>
  <c r="D575" i="63"/>
  <c r="E574" i="63"/>
  <c r="B562" i="85" s="1"/>
  <c r="D574" i="63"/>
  <c r="E573" i="63"/>
  <c r="B561" i="85" s="1"/>
  <c r="D573" i="63"/>
  <c r="E572" i="63"/>
  <c r="B560" i="85" s="1"/>
  <c r="D572" i="63"/>
  <c r="E571" i="63"/>
  <c r="B559" i="85" s="1"/>
  <c r="D571" i="63"/>
  <c r="E570" i="63"/>
  <c r="B558" i="85" s="1"/>
  <c r="D570" i="63"/>
  <c r="E569" i="63"/>
  <c r="B557" i="85" s="1"/>
  <c r="D569" i="63"/>
  <c r="E568" i="63"/>
  <c r="B556" i="85" s="1"/>
  <c r="D568" i="63"/>
  <c r="E567" i="63"/>
  <c r="B555" i="85" s="1"/>
  <c r="D567" i="63"/>
  <c r="E566" i="63"/>
  <c r="B554" i="85" s="1"/>
  <c r="D566" i="63"/>
  <c r="E565" i="63"/>
  <c r="B553" i="85" s="1"/>
  <c r="D565" i="63"/>
  <c r="E564" i="63"/>
  <c r="B552" i="85" s="1"/>
  <c r="D564" i="63"/>
  <c r="E563" i="63"/>
  <c r="B551" i="85" s="1"/>
  <c r="D563" i="63"/>
  <c r="E562" i="63"/>
  <c r="B550" i="85" s="1"/>
  <c r="D562" i="63"/>
  <c r="E561" i="63"/>
  <c r="B549" i="85" s="1"/>
  <c r="D561" i="63"/>
  <c r="E560" i="63"/>
  <c r="B548" i="85" s="1"/>
  <c r="D560" i="63"/>
  <c r="E559" i="63"/>
  <c r="B547" i="85" s="1"/>
  <c r="D559" i="63"/>
  <c r="E558" i="63"/>
  <c r="B546" i="85" s="1"/>
  <c r="D558" i="63"/>
  <c r="E557" i="63"/>
  <c r="B545" i="85" s="1"/>
  <c r="D557" i="63"/>
  <c r="E556" i="63"/>
  <c r="B544" i="85" s="1"/>
  <c r="D556" i="63"/>
  <c r="E555" i="63"/>
  <c r="B543" i="85" s="1"/>
  <c r="D555" i="63"/>
  <c r="E554" i="63"/>
  <c r="B542" i="85" s="1"/>
  <c r="D554" i="63"/>
  <c r="E553" i="63"/>
  <c r="B541" i="85" s="1"/>
  <c r="D553" i="63"/>
  <c r="E552" i="63"/>
  <c r="B540" i="85" s="1"/>
  <c r="D552" i="63"/>
  <c r="E551" i="63"/>
  <c r="B539" i="85" s="1"/>
  <c r="D551" i="63"/>
  <c r="E550" i="63"/>
  <c r="B538" i="85" s="1"/>
  <c r="D550" i="63"/>
  <c r="E549" i="63"/>
  <c r="B537" i="85" s="1"/>
  <c r="D549" i="63"/>
  <c r="E548" i="63"/>
  <c r="B536" i="85" s="1"/>
  <c r="D548" i="63"/>
  <c r="E547" i="63"/>
  <c r="B535" i="85" s="1"/>
  <c r="D547" i="63"/>
  <c r="E546" i="63"/>
  <c r="B534" i="85" s="1"/>
  <c r="D546" i="63"/>
  <c r="E545" i="63"/>
  <c r="B533" i="85" s="1"/>
  <c r="D545" i="63"/>
  <c r="E544" i="63"/>
  <c r="B532" i="85" s="1"/>
  <c r="D544" i="63"/>
  <c r="E543" i="63"/>
  <c r="B531" i="85" s="1"/>
  <c r="D543" i="63"/>
  <c r="E542" i="63"/>
  <c r="B530" i="85" s="1"/>
  <c r="D542" i="63"/>
  <c r="E541" i="63"/>
  <c r="B529" i="85" s="1"/>
  <c r="D541" i="63"/>
  <c r="E540" i="63"/>
  <c r="B528" i="85" s="1"/>
  <c r="D540" i="63"/>
  <c r="E539" i="63"/>
  <c r="D539" i="63"/>
  <c r="E538" i="63"/>
  <c r="B526" i="85" s="1"/>
  <c r="D538" i="63"/>
  <c r="E537" i="63"/>
  <c r="B525" i="85" s="1"/>
  <c r="D537" i="63"/>
  <c r="E536" i="63"/>
  <c r="B524" i="85" s="1"/>
  <c r="D536" i="63"/>
  <c r="E535" i="63"/>
  <c r="B523" i="85" s="1"/>
  <c r="D535" i="63"/>
  <c r="E534" i="63"/>
  <c r="B522" i="85" s="1"/>
  <c r="D534" i="63"/>
  <c r="E533" i="63"/>
  <c r="B521" i="85" s="1"/>
  <c r="D533" i="63"/>
  <c r="E532" i="63"/>
  <c r="B520" i="85" s="1"/>
  <c r="D532" i="63"/>
  <c r="E531" i="63"/>
  <c r="B519" i="85" s="1"/>
  <c r="D531" i="63"/>
  <c r="E530" i="63"/>
  <c r="B518" i="85" s="1"/>
  <c r="D530" i="63"/>
  <c r="E529" i="63"/>
  <c r="B517" i="85" s="1"/>
  <c r="D529" i="63"/>
  <c r="E528" i="63"/>
  <c r="B516" i="85" s="1"/>
  <c r="D528" i="63"/>
  <c r="E527" i="63"/>
  <c r="B515" i="85" s="1"/>
  <c r="D527" i="63"/>
  <c r="E526" i="63"/>
  <c r="B514" i="85" s="1"/>
  <c r="D526" i="63"/>
  <c r="E525" i="63"/>
  <c r="B513" i="85" s="1"/>
  <c r="D525" i="63"/>
  <c r="E524" i="63"/>
  <c r="B512" i="85" s="1"/>
  <c r="D524" i="63"/>
  <c r="E523" i="63"/>
  <c r="B511" i="85" s="1"/>
  <c r="D523" i="63"/>
  <c r="E522" i="63"/>
  <c r="B510" i="85" s="1"/>
  <c r="D522" i="63"/>
  <c r="E521" i="63"/>
  <c r="B509" i="85" s="1"/>
  <c r="D521" i="63"/>
  <c r="E520" i="63"/>
  <c r="B508" i="85" s="1"/>
  <c r="D520" i="63"/>
  <c r="E519" i="63"/>
  <c r="B507" i="85" s="1"/>
  <c r="D519" i="63"/>
  <c r="E518" i="63"/>
  <c r="B506" i="85" s="1"/>
  <c r="D518" i="63"/>
  <c r="E517" i="63"/>
  <c r="B505" i="85" s="1"/>
  <c r="D517" i="63"/>
  <c r="E516" i="63"/>
  <c r="B504" i="85" s="1"/>
  <c r="D516" i="63"/>
  <c r="E515" i="63"/>
  <c r="B503" i="85" s="1"/>
  <c r="D515" i="63"/>
  <c r="E514" i="63"/>
  <c r="B502" i="85" s="1"/>
  <c r="D514" i="63"/>
  <c r="E513" i="63"/>
  <c r="B501" i="85" s="1"/>
  <c r="D513" i="63"/>
  <c r="E512" i="63"/>
  <c r="B500" i="85" s="1"/>
  <c r="D512" i="63"/>
  <c r="E511" i="63"/>
  <c r="B499" i="85" s="1"/>
  <c r="D511" i="63"/>
  <c r="E510" i="63"/>
  <c r="B498" i="85" s="1"/>
  <c r="D510" i="63"/>
  <c r="E509" i="63"/>
  <c r="B497" i="85" s="1"/>
  <c r="D509" i="63"/>
  <c r="E508" i="63"/>
  <c r="B496" i="85" s="1"/>
  <c r="D508" i="63"/>
  <c r="E507" i="63"/>
  <c r="B495" i="85" s="1"/>
  <c r="D507" i="63"/>
  <c r="E506" i="63"/>
  <c r="B494" i="85" s="1"/>
  <c r="D506" i="63"/>
  <c r="E505" i="63"/>
  <c r="B493" i="85" s="1"/>
  <c r="D505" i="63"/>
  <c r="E504" i="63"/>
  <c r="B492" i="85" s="1"/>
  <c r="D504" i="63"/>
  <c r="E503" i="63"/>
  <c r="B491" i="85" s="1"/>
  <c r="D503" i="63"/>
  <c r="E502" i="63"/>
  <c r="B490" i="85" s="1"/>
  <c r="D502" i="63"/>
  <c r="E501" i="63"/>
  <c r="B489" i="85" s="1"/>
  <c r="D501" i="63"/>
  <c r="E500" i="63"/>
  <c r="B488" i="85" s="1"/>
  <c r="D500" i="63"/>
  <c r="E499" i="63"/>
  <c r="B487" i="85" s="1"/>
  <c r="D499" i="63"/>
  <c r="E498" i="63"/>
  <c r="B486" i="85" s="1"/>
  <c r="D498" i="63"/>
  <c r="E497" i="63"/>
  <c r="B485" i="85" s="1"/>
  <c r="D497" i="63"/>
  <c r="E496" i="63"/>
  <c r="B484" i="85" s="1"/>
  <c r="D496" i="63"/>
  <c r="E495" i="63"/>
  <c r="B483" i="85" s="1"/>
  <c r="D495" i="63"/>
  <c r="E494" i="63"/>
  <c r="B482" i="85" s="1"/>
  <c r="D494" i="63"/>
  <c r="E493" i="63"/>
  <c r="B481" i="85" s="1"/>
  <c r="D493" i="63"/>
  <c r="E492" i="63"/>
  <c r="B480" i="85" s="1"/>
  <c r="D492" i="63"/>
  <c r="E491" i="63"/>
  <c r="B479" i="85" s="1"/>
  <c r="D491" i="63"/>
  <c r="E490" i="63"/>
  <c r="B478" i="85" s="1"/>
  <c r="D490" i="63"/>
  <c r="E489" i="63"/>
  <c r="B477" i="85" s="1"/>
  <c r="D489" i="63"/>
  <c r="E488" i="63"/>
  <c r="B476" i="85" s="1"/>
  <c r="D488" i="63"/>
  <c r="E487" i="63"/>
  <c r="B475" i="85" s="1"/>
  <c r="D487" i="63"/>
  <c r="E486" i="63"/>
  <c r="B474" i="85" s="1"/>
  <c r="D486" i="63"/>
  <c r="E485" i="63"/>
  <c r="B473" i="85" s="1"/>
  <c r="D485" i="63"/>
  <c r="E484" i="63"/>
  <c r="B472" i="85" s="1"/>
  <c r="D484" i="63"/>
  <c r="E483" i="63"/>
  <c r="B471" i="85" s="1"/>
  <c r="D483" i="63"/>
  <c r="E482" i="63"/>
  <c r="B470" i="85" s="1"/>
  <c r="D482" i="63"/>
  <c r="E481" i="63"/>
  <c r="B469" i="85" s="1"/>
  <c r="D481" i="63"/>
  <c r="E480" i="63"/>
  <c r="B468" i="85" s="1"/>
  <c r="D480" i="63"/>
  <c r="E479" i="63"/>
  <c r="B467" i="85" s="1"/>
  <c r="D479" i="63"/>
  <c r="E478" i="63"/>
  <c r="B466" i="85" s="1"/>
  <c r="D478" i="63"/>
  <c r="E477" i="63"/>
  <c r="B465" i="85" s="1"/>
  <c r="D477" i="63"/>
  <c r="E476" i="63"/>
  <c r="B464" i="85" s="1"/>
  <c r="D476" i="63"/>
  <c r="E475" i="63"/>
  <c r="B463" i="85" s="1"/>
  <c r="D475" i="63"/>
  <c r="E474" i="63"/>
  <c r="B462" i="85" s="1"/>
  <c r="D474" i="63"/>
  <c r="E473" i="63"/>
  <c r="B461" i="85" s="1"/>
  <c r="D473" i="63"/>
  <c r="E472" i="63"/>
  <c r="B460" i="85" s="1"/>
  <c r="D472" i="63"/>
  <c r="E471" i="63"/>
  <c r="B459" i="85" s="1"/>
  <c r="D471" i="63"/>
  <c r="E470" i="63"/>
  <c r="B458" i="85" s="1"/>
  <c r="D470" i="63"/>
  <c r="E469" i="63"/>
  <c r="B457" i="85" s="1"/>
  <c r="D469" i="63"/>
  <c r="E468" i="63"/>
  <c r="B456" i="85" s="1"/>
  <c r="D468" i="63"/>
  <c r="E467" i="63"/>
  <c r="B455" i="85" s="1"/>
  <c r="D467" i="63"/>
  <c r="E466" i="63"/>
  <c r="B454" i="85" s="1"/>
  <c r="D466" i="63"/>
  <c r="E465" i="63"/>
  <c r="B453" i="85" s="1"/>
  <c r="D465" i="63"/>
  <c r="E464" i="63"/>
  <c r="B452" i="85" s="1"/>
  <c r="D464" i="63"/>
  <c r="E463" i="63"/>
  <c r="B451" i="85" s="1"/>
  <c r="D463" i="63"/>
  <c r="E462" i="63"/>
  <c r="B450" i="85" s="1"/>
  <c r="D462" i="63"/>
  <c r="E461" i="63"/>
  <c r="B449" i="85" s="1"/>
  <c r="D461" i="63"/>
  <c r="E460" i="63"/>
  <c r="B448" i="85" s="1"/>
  <c r="D460" i="63"/>
  <c r="E459" i="63"/>
  <c r="B447" i="85" s="1"/>
  <c r="D459" i="63"/>
  <c r="E458" i="63"/>
  <c r="B446" i="85" s="1"/>
  <c r="D458" i="63"/>
  <c r="E457" i="63"/>
  <c r="B445" i="85" s="1"/>
  <c r="D457" i="63"/>
  <c r="E456" i="63"/>
  <c r="B444" i="85" s="1"/>
  <c r="D456" i="63"/>
  <c r="E455" i="63"/>
  <c r="B443" i="85" s="1"/>
  <c r="D455" i="63"/>
  <c r="E454" i="63"/>
  <c r="B442" i="85" s="1"/>
  <c r="D454" i="63"/>
  <c r="E453" i="63"/>
  <c r="B441" i="85" s="1"/>
  <c r="D453" i="63"/>
  <c r="E452" i="63"/>
  <c r="B440" i="85" s="1"/>
  <c r="D452" i="63"/>
  <c r="E451" i="63"/>
  <c r="B439" i="85" s="1"/>
  <c r="D451" i="63"/>
  <c r="E450" i="63"/>
  <c r="B438" i="85" s="1"/>
  <c r="D450" i="63"/>
  <c r="E449" i="63"/>
  <c r="B437" i="85" s="1"/>
  <c r="D449" i="63"/>
  <c r="E448" i="63"/>
  <c r="B436" i="85" s="1"/>
  <c r="D448" i="63"/>
  <c r="E447" i="63"/>
  <c r="B435" i="85" s="1"/>
  <c r="D447" i="63"/>
  <c r="E446" i="63"/>
  <c r="B434" i="85" s="1"/>
  <c r="D446" i="63"/>
  <c r="E445" i="63"/>
  <c r="B433" i="85" s="1"/>
  <c r="D445" i="63"/>
  <c r="E444" i="63"/>
  <c r="B432" i="85" s="1"/>
  <c r="D444" i="63"/>
  <c r="E443" i="63"/>
  <c r="B431" i="85" s="1"/>
  <c r="D443" i="63"/>
  <c r="E442" i="63"/>
  <c r="B430" i="85" s="1"/>
  <c r="D442" i="63"/>
  <c r="E441" i="63"/>
  <c r="B429" i="85" s="1"/>
  <c r="D441" i="63"/>
  <c r="E440" i="63"/>
  <c r="B428" i="85" s="1"/>
  <c r="D440" i="63"/>
  <c r="E439" i="63"/>
  <c r="B427" i="85" s="1"/>
  <c r="D439" i="63"/>
  <c r="E438" i="63"/>
  <c r="B426" i="85" s="1"/>
  <c r="D438" i="63"/>
  <c r="E437" i="63"/>
  <c r="B425" i="85" s="1"/>
  <c r="D437" i="63"/>
  <c r="E436" i="63"/>
  <c r="B424" i="85" s="1"/>
  <c r="D436" i="63"/>
  <c r="E435" i="63"/>
  <c r="B423" i="85" s="1"/>
  <c r="D435" i="63"/>
  <c r="E434" i="63"/>
  <c r="B422" i="85" s="1"/>
  <c r="D434" i="63"/>
  <c r="E433" i="63"/>
  <c r="B421" i="85" s="1"/>
  <c r="D433" i="63"/>
  <c r="E432" i="63"/>
  <c r="B420" i="85" s="1"/>
  <c r="D432" i="63"/>
  <c r="E431" i="63"/>
  <c r="B419" i="85" s="1"/>
  <c r="D431" i="63"/>
  <c r="E430" i="63"/>
  <c r="B418" i="85" s="1"/>
  <c r="D430" i="63"/>
  <c r="E429" i="63"/>
  <c r="B417" i="85" s="1"/>
  <c r="D429" i="63"/>
  <c r="E428" i="63"/>
  <c r="B416" i="85" s="1"/>
  <c r="D428" i="63"/>
  <c r="E427" i="63"/>
  <c r="B415" i="85" s="1"/>
  <c r="D427" i="63"/>
  <c r="E426" i="63"/>
  <c r="B414" i="85" s="1"/>
  <c r="D426" i="63"/>
  <c r="E425" i="63"/>
  <c r="B413" i="85" s="1"/>
  <c r="D425" i="63"/>
  <c r="E424" i="63"/>
  <c r="B412" i="85" s="1"/>
  <c r="D424" i="63"/>
  <c r="E423" i="63"/>
  <c r="B411" i="85" s="1"/>
  <c r="D423" i="63"/>
  <c r="E422" i="63"/>
  <c r="B410" i="85" s="1"/>
  <c r="D422" i="63"/>
  <c r="E421" i="63"/>
  <c r="B409" i="85" s="1"/>
  <c r="D421" i="63"/>
  <c r="E420" i="63"/>
  <c r="B408" i="85" s="1"/>
  <c r="D420" i="63"/>
  <c r="E419" i="63"/>
  <c r="B407" i="85" s="1"/>
  <c r="D419" i="63"/>
  <c r="E418" i="63"/>
  <c r="B406" i="85" s="1"/>
  <c r="D418" i="63"/>
  <c r="E417" i="63"/>
  <c r="B405" i="85" s="1"/>
  <c r="D417" i="63"/>
  <c r="E416" i="63"/>
  <c r="B404" i="85" s="1"/>
  <c r="D416" i="63"/>
  <c r="E415" i="63"/>
  <c r="B403" i="85" s="1"/>
  <c r="D415" i="63"/>
  <c r="E414" i="63"/>
  <c r="B402" i="85" s="1"/>
  <c r="D414" i="63"/>
  <c r="E413" i="63"/>
  <c r="B401" i="85" s="1"/>
  <c r="D413" i="63"/>
  <c r="E412" i="63"/>
  <c r="B400" i="85" s="1"/>
  <c r="D412" i="63"/>
  <c r="E411" i="63"/>
  <c r="B399" i="85" s="1"/>
  <c r="D411" i="63"/>
  <c r="E410" i="63"/>
  <c r="B398" i="85" s="1"/>
  <c r="D410" i="63"/>
  <c r="E409" i="63"/>
  <c r="B397" i="85" s="1"/>
  <c r="D409" i="63"/>
  <c r="E408" i="63"/>
  <c r="B396" i="85" s="1"/>
  <c r="D408" i="63"/>
  <c r="E407" i="63"/>
  <c r="B395" i="85" s="1"/>
  <c r="D407" i="63"/>
  <c r="E406" i="63"/>
  <c r="B394" i="85" s="1"/>
  <c r="D406" i="63"/>
  <c r="E405" i="63"/>
  <c r="B393" i="85" s="1"/>
  <c r="D405" i="63"/>
  <c r="E404" i="63"/>
  <c r="B392" i="85" s="1"/>
  <c r="D404" i="63"/>
  <c r="E403" i="63"/>
  <c r="B391" i="85" s="1"/>
  <c r="D403" i="63"/>
  <c r="E402" i="63"/>
  <c r="B390" i="85" s="1"/>
  <c r="D402" i="63"/>
  <c r="E401" i="63"/>
  <c r="B389" i="85" s="1"/>
  <c r="D401" i="63"/>
  <c r="E400" i="63"/>
  <c r="B388" i="85" s="1"/>
  <c r="D400" i="63"/>
  <c r="E399" i="63"/>
  <c r="B387" i="85" s="1"/>
  <c r="D399" i="63"/>
  <c r="E398" i="63"/>
  <c r="B386" i="85" s="1"/>
  <c r="D398" i="63"/>
  <c r="E397" i="63"/>
  <c r="B385" i="85" s="1"/>
  <c r="D397" i="63"/>
  <c r="E396" i="63"/>
  <c r="B384" i="85" s="1"/>
  <c r="D396" i="63"/>
  <c r="E395" i="63"/>
  <c r="B383" i="85" s="1"/>
  <c r="D395" i="63"/>
  <c r="E394" i="63"/>
  <c r="B382" i="85" s="1"/>
  <c r="D394" i="63"/>
  <c r="E393" i="63"/>
  <c r="B381" i="85" s="1"/>
  <c r="D393" i="63"/>
  <c r="E392" i="63"/>
  <c r="B380" i="85" s="1"/>
  <c r="D392" i="63"/>
  <c r="E391" i="63"/>
  <c r="B379" i="85" s="1"/>
  <c r="D391" i="63"/>
  <c r="E390" i="63"/>
  <c r="B378" i="85" s="1"/>
  <c r="D390" i="63"/>
  <c r="E389" i="63"/>
  <c r="B377" i="85" s="1"/>
  <c r="D389" i="63"/>
  <c r="E388" i="63"/>
  <c r="B376" i="85" s="1"/>
  <c r="D388" i="63"/>
  <c r="E387" i="63"/>
  <c r="B375" i="85" s="1"/>
  <c r="D387" i="63"/>
  <c r="E386" i="63"/>
  <c r="B374" i="85" s="1"/>
  <c r="D386" i="63"/>
  <c r="E385" i="63"/>
  <c r="B373" i="85" s="1"/>
  <c r="D385" i="63"/>
  <c r="E384" i="63"/>
  <c r="B372" i="85" s="1"/>
  <c r="D384" i="63"/>
  <c r="E383" i="63"/>
  <c r="B371" i="85" s="1"/>
  <c r="D383" i="63"/>
  <c r="E382" i="63"/>
  <c r="B370" i="85" s="1"/>
  <c r="D382" i="63"/>
  <c r="E381" i="63"/>
  <c r="B369" i="85" s="1"/>
  <c r="D381" i="63"/>
  <c r="E380" i="63"/>
  <c r="B368" i="85" s="1"/>
  <c r="D380" i="63"/>
  <c r="E374" i="63"/>
  <c r="B362" i="85" s="1"/>
  <c r="D374" i="63"/>
  <c r="E373" i="63"/>
  <c r="B361" i="85" s="1"/>
  <c r="D373" i="63"/>
  <c r="E372" i="63"/>
  <c r="B360" i="85" s="1"/>
  <c r="D372" i="63"/>
  <c r="E371" i="63"/>
  <c r="B359" i="85" s="1"/>
  <c r="D371" i="63"/>
  <c r="E370" i="63"/>
  <c r="B358" i="85" s="1"/>
  <c r="D370" i="63"/>
  <c r="E369" i="63"/>
  <c r="B357" i="85" s="1"/>
  <c r="D369" i="63"/>
  <c r="E368" i="63"/>
  <c r="B356" i="85" s="1"/>
  <c r="D368" i="63"/>
  <c r="E367" i="63"/>
  <c r="B355" i="85" s="1"/>
  <c r="D367" i="63"/>
  <c r="E366" i="63"/>
  <c r="B354" i="85" s="1"/>
  <c r="D366" i="63"/>
  <c r="E365" i="63"/>
  <c r="B353" i="85" s="1"/>
  <c r="D365" i="63"/>
  <c r="E364" i="63"/>
  <c r="B352" i="85" s="1"/>
  <c r="D364" i="63"/>
  <c r="E363" i="63"/>
  <c r="B351" i="85" s="1"/>
  <c r="D363" i="63"/>
  <c r="E362" i="63"/>
  <c r="B350" i="85" s="1"/>
  <c r="D362" i="63"/>
  <c r="E361" i="63"/>
  <c r="B349" i="85" s="1"/>
  <c r="D361" i="63"/>
  <c r="E360" i="63"/>
  <c r="B348" i="85" s="1"/>
  <c r="D360" i="63"/>
  <c r="E359" i="63"/>
  <c r="B347" i="85" s="1"/>
  <c r="D359" i="63"/>
  <c r="E358" i="63"/>
  <c r="B346" i="85" s="1"/>
  <c r="D358" i="63"/>
  <c r="E357" i="63"/>
  <c r="B345" i="85" s="1"/>
  <c r="D357" i="63"/>
  <c r="E356" i="63"/>
  <c r="B344" i="85" s="1"/>
  <c r="D356" i="63"/>
  <c r="E355" i="63"/>
  <c r="B343" i="85" s="1"/>
  <c r="D355" i="63"/>
  <c r="E354" i="63"/>
  <c r="B342" i="85" s="1"/>
  <c r="D354" i="63"/>
  <c r="E353" i="63"/>
  <c r="B341" i="85" s="1"/>
  <c r="D353" i="63"/>
  <c r="E352" i="63"/>
  <c r="B340" i="85" s="1"/>
  <c r="D352" i="63"/>
  <c r="E351" i="63"/>
  <c r="B339" i="85" s="1"/>
  <c r="D351" i="63"/>
  <c r="E350" i="63"/>
  <c r="B338" i="85" s="1"/>
  <c r="D350" i="63"/>
  <c r="E349" i="63"/>
  <c r="B337" i="85" s="1"/>
  <c r="D349" i="63"/>
  <c r="E348" i="63"/>
  <c r="B336" i="85" s="1"/>
  <c r="D348" i="63"/>
  <c r="E347" i="63"/>
  <c r="B335" i="85" s="1"/>
  <c r="D347" i="63"/>
  <c r="E346" i="63"/>
  <c r="B334" i="85" s="1"/>
  <c r="D346" i="63"/>
  <c r="E345" i="63"/>
  <c r="B333" i="85" s="1"/>
  <c r="D345" i="63"/>
  <c r="E344" i="63"/>
  <c r="B332" i="85" s="1"/>
  <c r="D344" i="63"/>
  <c r="E343" i="63"/>
  <c r="B331" i="85" s="1"/>
  <c r="D343" i="63"/>
  <c r="E342" i="63"/>
  <c r="B330" i="85" s="1"/>
  <c r="D342" i="63"/>
  <c r="E341" i="63"/>
  <c r="B329" i="85" s="1"/>
  <c r="D341" i="63"/>
  <c r="E340" i="63"/>
  <c r="B328" i="85" s="1"/>
  <c r="D340" i="63"/>
  <c r="E339" i="63"/>
  <c r="B327" i="85" s="1"/>
  <c r="D339" i="63"/>
  <c r="E338" i="63"/>
  <c r="B326" i="85" s="1"/>
  <c r="D338" i="63"/>
  <c r="E337" i="63"/>
  <c r="B325" i="85" s="1"/>
  <c r="D337" i="63"/>
  <c r="E336" i="63"/>
  <c r="B324" i="85" s="1"/>
  <c r="D336" i="63"/>
  <c r="E335" i="63"/>
  <c r="B323" i="85" s="1"/>
  <c r="D335" i="63"/>
  <c r="E334" i="63"/>
  <c r="B322" i="85" s="1"/>
  <c r="D334" i="63"/>
  <c r="E333" i="63"/>
  <c r="B321" i="85" s="1"/>
  <c r="D333" i="63"/>
  <c r="E332" i="63"/>
  <c r="B320" i="85" s="1"/>
  <c r="D332" i="63"/>
  <c r="E331" i="63"/>
  <c r="B319" i="85" s="1"/>
  <c r="D331" i="63"/>
  <c r="E330" i="63"/>
  <c r="B318" i="85" s="1"/>
  <c r="D330" i="63"/>
  <c r="E329" i="63"/>
  <c r="B317" i="85" s="1"/>
  <c r="D329" i="63"/>
  <c r="E328" i="63"/>
  <c r="B316" i="85" s="1"/>
  <c r="D328" i="63"/>
  <c r="E327" i="63"/>
  <c r="B315" i="85" s="1"/>
  <c r="D327" i="63"/>
  <c r="E326" i="63"/>
  <c r="B314" i="85" s="1"/>
  <c r="D326" i="63"/>
  <c r="E325" i="63"/>
  <c r="B313" i="85" s="1"/>
  <c r="D325" i="63"/>
  <c r="E324" i="63"/>
  <c r="B312" i="85" s="1"/>
  <c r="D324" i="63"/>
  <c r="E323" i="63"/>
  <c r="B311" i="85" s="1"/>
  <c r="D323" i="63"/>
  <c r="E322" i="63"/>
  <c r="B310" i="85" s="1"/>
  <c r="D322" i="63"/>
  <c r="E321" i="63"/>
  <c r="B309" i="85" s="1"/>
  <c r="D321" i="63"/>
  <c r="E320" i="63"/>
  <c r="B308" i="85" s="1"/>
  <c r="D320" i="63"/>
  <c r="E319" i="63"/>
  <c r="B307" i="85" s="1"/>
  <c r="D319" i="63"/>
  <c r="E318" i="63"/>
  <c r="B306" i="85" s="1"/>
  <c r="D318" i="63"/>
  <c r="E317" i="63"/>
  <c r="B305" i="85" s="1"/>
  <c r="D317" i="63"/>
  <c r="E316" i="63"/>
  <c r="B304" i="85" s="1"/>
  <c r="D316" i="63"/>
  <c r="E315" i="63"/>
  <c r="B303" i="85" s="1"/>
  <c r="D315" i="63"/>
  <c r="E314" i="63"/>
  <c r="B302" i="85" s="1"/>
  <c r="D314" i="63"/>
  <c r="E313" i="63"/>
  <c r="B301" i="85" s="1"/>
  <c r="D313" i="63"/>
  <c r="E312" i="63"/>
  <c r="B300" i="85" s="1"/>
  <c r="D312" i="63"/>
  <c r="E311" i="63"/>
  <c r="B299" i="85" s="1"/>
  <c r="D311" i="63"/>
  <c r="E310" i="63"/>
  <c r="B298" i="85" s="1"/>
  <c r="D310" i="63"/>
  <c r="E309" i="63"/>
  <c r="B297" i="85" s="1"/>
  <c r="D309" i="63"/>
  <c r="E308" i="63"/>
  <c r="B296" i="85" s="1"/>
  <c r="D308" i="63"/>
  <c r="E307" i="63"/>
  <c r="B295" i="85" s="1"/>
  <c r="D307" i="63"/>
  <c r="E306" i="63"/>
  <c r="B294" i="85" s="1"/>
  <c r="D306" i="63"/>
  <c r="E305" i="63"/>
  <c r="B293" i="85" s="1"/>
  <c r="D305" i="63"/>
  <c r="E304" i="63"/>
  <c r="B292" i="85" s="1"/>
  <c r="D304" i="63"/>
  <c r="E303" i="63"/>
  <c r="B291" i="85" s="1"/>
  <c r="D303" i="63"/>
  <c r="E302" i="63"/>
  <c r="B290" i="85" s="1"/>
  <c r="D302" i="63"/>
  <c r="E301" i="63"/>
  <c r="B289" i="85" s="1"/>
  <c r="D301" i="63"/>
  <c r="E300" i="63"/>
  <c r="B288" i="85" s="1"/>
  <c r="D300" i="63"/>
  <c r="E299" i="63"/>
  <c r="B287" i="85" s="1"/>
  <c r="D299" i="63"/>
  <c r="E298" i="63"/>
  <c r="B286" i="85" s="1"/>
  <c r="D298" i="63"/>
  <c r="E297" i="63"/>
  <c r="B285" i="85" s="1"/>
  <c r="D297" i="63"/>
  <c r="E296" i="63"/>
  <c r="B284" i="85" s="1"/>
  <c r="D296" i="63"/>
  <c r="E295" i="63"/>
  <c r="B283" i="85" s="1"/>
  <c r="D295" i="63"/>
  <c r="E294" i="63"/>
  <c r="B282" i="85" s="1"/>
  <c r="D294" i="63"/>
  <c r="E293" i="63"/>
  <c r="B281" i="85" s="1"/>
  <c r="D293" i="63"/>
  <c r="E292" i="63"/>
  <c r="B280" i="85" s="1"/>
  <c r="D292" i="63"/>
  <c r="E291" i="63"/>
  <c r="B279" i="85" s="1"/>
  <c r="D291" i="63"/>
  <c r="E290" i="63"/>
  <c r="B278" i="85" s="1"/>
  <c r="D290" i="63"/>
  <c r="E289" i="63"/>
  <c r="B277" i="85" s="1"/>
  <c r="D289" i="63"/>
  <c r="E288" i="63"/>
  <c r="B276" i="85" s="1"/>
  <c r="D288" i="63"/>
  <c r="E287" i="63"/>
  <c r="B275" i="85" s="1"/>
  <c r="D287" i="63"/>
  <c r="E286" i="63"/>
  <c r="B274" i="85" s="1"/>
  <c r="D286" i="63"/>
  <c r="E285" i="63"/>
  <c r="B273" i="85" s="1"/>
  <c r="D285" i="63"/>
  <c r="E284" i="63"/>
  <c r="B272" i="85" s="1"/>
  <c r="D284" i="63"/>
  <c r="E283" i="63"/>
  <c r="B271" i="85" s="1"/>
  <c r="D283" i="63"/>
  <c r="E282" i="63"/>
  <c r="B270" i="85" s="1"/>
  <c r="D282" i="63"/>
  <c r="E281" i="63"/>
  <c r="B269" i="85" s="1"/>
  <c r="D281" i="63"/>
  <c r="E280" i="63"/>
  <c r="B268" i="85" s="1"/>
  <c r="D280" i="63"/>
  <c r="E279" i="63"/>
  <c r="B267" i="85" s="1"/>
  <c r="D279" i="63"/>
  <c r="E278" i="63"/>
  <c r="B266" i="85" s="1"/>
  <c r="D278" i="63"/>
  <c r="E277" i="63"/>
  <c r="B265" i="85" s="1"/>
  <c r="D277" i="63"/>
  <c r="E276" i="63"/>
  <c r="B264" i="85" s="1"/>
  <c r="D276" i="63"/>
  <c r="E275" i="63"/>
  <c r="B263" i="85" s="1"/>
  <c r="D275" i="63"/>
  <c r="E274" i="63"/>
  <c r="B262" i="85" s="1"/>
  <c r="D274" i="63"/>
  <c r="E273" i="63"/>
  <c r="B261" i="85" s="1"/>
  <c r="D273" i="63"/>
  <c r="E272" i="63"/>
  <c r="B260" i="85" s="1"/>
  <c r="D272" i="63"/>
  <c r="E271" i="63"/>
  <c r="B259" i="85" s="1"/>
  <c r="D271" i="63"/>
  <c r="E270" i="63"/>
  <c r="B258" i="85" s="1"/>
  <c r="D270" i="63"/>
  <c r="E269" i="63"/>
  <c r="B257" i="85" s="1"/>
  <c r="D269" i="63"/>
  <c r="E268" i="63"/>
  <c r="B256" i="85" s="1"/>
  <c r="D268" i="63"/>
  <c r="E267" i="63"/>
  <c r="B255" i="85" s="1"/>
  <c r="D267" i="63"/>
  <c r="E266" i="63"/>
  <c r="B254" i="85" s="1"/>
  <c r="D266" i="63"/>
  <c r="E265" i="63"/>
  <c r="B253" i="85" s="1"/>
  <c r="D265" i="63"/>
  <c r="E264" i="63"/>
  <c r="B252" i="85" s="1"/>
  <c r="D264" i="63"/>
  <c r="E263" i="63"/>
  <c r="B251" i="85" s="1"/>
  <c r="D263" i="63"/>
  <c r="E262" i="63"/>
  <c r="B250" i="85" s="1"/>
  <c r="D262" i="63"/>
  <c r="E261" i="63"/>
  <c r="B249" i="85" s="1"/>
  <c r="D261" i="63"/>
  <c r="E260" i="63"/>
  <c r="B248" i="85" s="1"/>
  <c r="D260" i="63"/>
  <c r="E259" i="63"/>
  <c r="B247" i="85" s="1"/>
  <c r="D259" i="63"/>
  <c r="E258" i="63"/>
  <c r="B246" i="85" s="1"/>
  <c r="D258" i="63"/>
  <c r="E257" i="63"/>
  <c r="B245" i="85" s="1"/>
  <c r="D257" i="63"/>
  <c r="E256" i="63"/>
  <c r="B244" i="85" s="1"/>
  <c r="D256" i="63"/>
  <c r="E255" i="63"/>
  <c r="B243" i="85" s="1"/>
  <c r="D255" i="63"/>
  <c r="E254" i="63"/>
  <c r="B242" i="85" s="1"/>
  <c r="D254" i="63"/>
  <c r="E253" i="63"/>
  <c r="B241" i="85" s="1"/>
  <c r="D253" i="63"/>
  <c r="E252" i="63"/>
  <c r="B240" i="85" s="1"/>
  <c r="D252" i="63"/>
  <c r="E251" i="63"/>
  <c r="B239" i="85" s="1"/>
  <c r="D251" i="63"/>
  <c r="E250" i="63"/>
  <c r="B238" i="85" s="1"/>
  <c r="D250" i="63"/>
  <c r="E249" i="63"/>
  <c r="B237" i="85" s="1"/>
  <c r="D249" i="63"/>
  <c r="E248" i="63"/>
  <c r="B236" i="85" s="1"/>
  <c r="D248" i="63"/>
  <c r="E247" i="63"/>
  <c r="B235" i="85" s="1"/>
  <c r="D247" i="63"/>
  <c r="E246" i="63"/>
  <c r="B234" i="85" s="1"/>
  <c r="D246" i="63"/>
  <c r="E245" i="63"/>
  <c r="B233" i="85" s="1"/>
  <c r="D245" i="63"/>
  <c r="E244" i="63"/>
  <c r="B232" i="85" s="1"/>
  <c r="D244" i="63"/>
  <c r="E243" i="63"/>
  <c r="B231" i="85" s="1"/>
  <c r="D243" i="63"/>
  <c r="E242" i="63"/>
  <c r="B230" i="85" s="1"/>
  <c r="D242" i="63"/>
  <c r="E241" i="63"/>
  <c r="B229" i="85" s="1"/>
  <c r="D241" i="63"/>
  <c r="E240" i="63"/>
  <c r="B228" i="85" s="1"/>
  <c r="D240" i="63"/>
  <c r="E239" i="63"/>
  <c r="B227" i="85" s="1"/>
  <c r="D239" i="63"/>
  <c r="E238" i="63"/>
  <c r="B226" i="85" s="1"/>
  <c r="D238" i="63"/>
  <c r="E237" i="63"/>
  <c r="B225" i="85" s="1"/>
  <c r="D237" i="63"/>
  <c r="E236" i="63"/>
  <c r="B224" i="85" s="1"/>
  <c r="D236" i="63"/>
  <c r="E235" i="63"/>
  <c r="B223" i="85" s="1"/>
  <c r="D235" i="63"/>
  <c r="E234" i="63"/>
  <c r="B222" i="85" s="1"/>
  <c r="D234" i="63"/>
  <c r="E233" i="63"/>
  <c r="B221" i="85" s="1"/>
  <c r="D233" i="63"/>
  <c r="E232" i="63"/>
  <c r="B220" i="85" s="1"/>
  <c r="D232" i="63"/>
  <c r="E231" i="63"/>
  <c r="B219" i="85" s="1"/>
  <c r="D231" i="63"/>
  <c r="E230" i="63"/>
  <c r="B218" i="85" s="1"/>
  <c r="D230" i="63"/>
  <c r="E229" i="63"/>
  <c r="B217" i="85" s="1"/>
  <c r="D229" i="63"/>
  <c r="E228" i="63"/>
  <c r="B216" i="85" s="1"/>
  <c r="D228" i="63"/>
  <c r="E227" i="63"/>
  <c r="B215" i="85" s="1"/>
  <c r="D227" i="63"/>
  <c r="E226" i="63"/>
  <c r="B214" i="85" s="1"/>
  <c r="D226" i="63"/>
  <c r="E225" i="63"/>
  <c r="B213" i="85" s="1"/>
  <c r="D225" i="63"/>
  <c r="E224" i="63"/>
  <c r="B212" i="85" s="1"/>
  <c r="D224" i="63"/>
  <c r="E223" i="63"/>
  <c r="B211" i="85" s="1"/>
  <c r="D223" i="63"/>
  <c r="E222" i="63"/>
  <c r="B210" i="85" s="1"/>
  <c r="D222" i="63"/>
  <c r="E221" i="63"/>
  <c r="B209" i="85" s="1"/>
  <c r="D221" i="63"/>
  <c r="E220" i="63"/>
  <c r="B208" i="85" s="1"/>
  <c r="D220" i="63"/>
  <c r="E219" i="63"/>
  <c r="B207" i="85" s="1"/>
  <c r="D219" i="63"/>
  <c r="E218" i="63"/>
  <c r="B206" i="85" s="1"/>
  <c r="D218" i="63"/>
  <c r="E217" i="63"/>
  <c r="B205" i="85" s="1"/>
  <c r="D217" i="63"/>
  <c r="E216" i="63"/>
  <c r="B204" i="85" s="1"/>
  <c r="D216" i="63"/>
  <c r="E215" i="63"/>
  <c r="B203" i="85" s="1"/>
  <c r="D215" i="63"/>
  <c r="E214" i="63"/>
  <c r="B202" i="85" s="1"/>
  <c r="D214" i="63"/>
  <c r="E213" i="63"/>
  <c r="B201" i="85" s="1"/>
  <c r="D213" i="63"/>
  <c r="E212" i="63"/>
  <c r="B200" i="85" s="1"/>
  <c r="D212" i="63"/>
  <c r="E211" i="63"/>
  <c r="B199" i="85" s="1"/>
  <c r="D211" i="63"/>
  <c r="E210" i="63"/>
  <c r="B198" i="85" s="1"/>
  <c r="D210" i="63"/>
  <c r="E209" i="63"/>
  <c r="B197" i="85" s="1"/>
  <c r="D209" i="63"/>
  <c r="E208" i="63"/>
  <c r="B196" i="85" s="1"/>
  <c r="D208" i="63"/>
  <c r="E207" i="63"/>
  <c r="B195" i="85" s="1"/>
  <c r="D207" i="63"/>
  <c r="E206" i="63"/>
  <c r="B194" i="85" s="1"/>
  <c r="D206" i="63"/>
  <c r="E205" i="63"/>
  <c r="B193" i="85" s="1"/>
  <c r="D205" i="63"/>
  <c r="E204" i="63"/>
  <c r="B192" i="85" s="1"/>
  <c r="D204" i="63"/>
  <c r="E203" i="63"/>
  <c r="B191" i="85" s="1"/>
  <c r="D203" i="63"/>
  <c r="E202" i="63"/>
  <c r="B190" i="85" s="1"/>
  <c r="D202" i="63"/>
  <c r="E201" i="63"/>
  <c r="B189" i="85" s="1"/>
  <c r="D201" i="63"/>
  <c r="E200" i="63"/>
  <c r="B188" i="85" s="1"/>
  <c r="D200" i="63"/>
  <c r="E199" i="63"/>
  <c r="B187" i="85" s="1"/>
  <c r="D199" i="63"/>
  <c r="E198" i="63"/>
  <c r="B186" i="85" s="1"/>
  <c r="D198" i="63"/>
  <c r="E197" i="63"/>
  <c r="B185" i="85" s="1"/>
  <c r="D197" i="63"/>
  <c r="E196" i="63"/>
  <c r="B184" i="85" s="1"/>
  <c r="D196" i="63"/>
  <c r="E195" i="63"/>
  <c r="B183" i="85" s="1"/>
  <c r="D195" i="63"/>
  <c r="E194" i="63"/>
  <c r="B182" i="85" s="1"/>
  <c r="D194" i="63"/>
  <c r="E193" i="63"/>
  <c r="B181" i="85" s="1"/>
  <c r="D193" i="63"/>
  <c r="E192" i="63"/>
  <c r="B180" i="85" s="1"/>
  <c r="D192" i="63"/>
  <c r="E191" i="63"/>
  <c r="B179" i="85" s="1"/>
  <c r="D191" i="63"/>
  <c r="E190" i="63"/>
  <c r="B178" i="85" s="1"/>
  <c r="D190" i="63"/>
  <c r="E189" i="63"/>
  <c r="B177" i="85" s="1"/>
  <c r="D189" i="63"/>
  <c r="E188" i="63"/>
  <c r="B176" i="85" s="1"/>
  <c r="D188" i="63"/>
  <c r="E187" i="63"/>
  <c r="B175" i="85" s="1"/>
  <c r="D187" i="63"/>
  <c r="E186" i="63"/>
  <c r="B174" i="85" s="1"/>
  <c r="D186" i="63"/>
  <c r="E185" i="63"/>
  <c r="B173" i="85" s="1"/>
  <c r="D185" i="63"/>
  <c r="E184" i="63"/>
  <c r="B172" i="85" s="1"/>
  <c r="D184" i="63"/>
  <c r="E183" i="63"/>
  <c r="B171" i="85" s="1"/>
  <c r="D183" i="63"/>
  <c r="E182" i="63"/>
  <c r="B170" i="85" s="1"/>
  <c r="D182" i="63"/>
  <c r="E181" i="63"/>
  <c r="B169" i="85" s="1"/>
  <c r="D181" i="63"/>
  <c r="E180" i="63"/>
  <c r="B168" i="85" s="1"/>
  <c r="D180" i="63"/>
  <c r="E179" i="63"/>
  <c r="B167" i="85" s="1"/>
  <c r="D179" i="63"/>
  <c r="E178" i="63"/>
  <c r="B166" i="85" s="1"/>
  <c r="D178" i="63"/>
  <c r="E177" i="63"/>
  <c r="B165" i="85" s="1"/>
  <c r="D177" i="63"/>
  <c r="E176" i="63"/>
  <c r="B164" i="85" s="1"/>
  <c r="D176" i="63"/>
  <c r="E175" i="63"/>
  <c r="B163" i="85" s="1"/>
  <c r="D175" i="63"/>
  <c r="E174" i="63"/>
  <c r="B162" i="85" s="1"/>
  <c r="D174" i="63"/>
  <c r="E173" i="63"/>
  <c r="B161" i="85" s="1"/>
  <c r="D173" i="63"/>
  <c r="E172" i="63"/>
  <c r="B160" i="85" s="1"/>
  <c r="D172" i="63"/>
  <c r="E171" i="63"/>
  <c r="B159" i="85" s="1"/>
  <c r="D171" i="63"/>
  <c r="E170" i="63"/>
  <c r="B158" i="85" s="1"/>
  <c r="D170" i="63"/>
  <c r="E169" i="63"/>
  <c r="B157" i="85" s="1"/>
  <c r="D169" i="63"/>
  <c r="E168" i="63"/>
  <c r="B156" i="85" s="1"/>
  <c r="D168" i="63"/>
  <c r="E167" i="63"/>
  <c r="B155" i="85" s="1"/>
  <c r="D167" i="63"/>
  <c r="E166" i="63"/>
  <c r="B154" i="85" s="1"/>
  <c r="D166" i="63"/>
  <c r="E165" i="63"/>
  <c r="B153" i="85" s="1"/>
  <c r="D165" i="63"/>
  <c r="E164" i="63"/>
  <c r="B152" i="85" s="1"/>
  <c r="D164" i="63"/>
  <c r="E163" i="63"/>
  <c r="B151" i="85" s="1"/>
  <c r="D163" i="63"/>
  <c r="E162" i="63"/>
  <c r="B150" i="85" s="1"/>
  <c r="D162" i="63"/>
  <c r="E161" i="63"/>
  <c r="B149" i="85" s="1"/>
  <c r="D161" i="63"/>
  <c r="E160" i="63"/>
  <c r="B148" i="85" s="1"/>
  <c r="D160" i="63"/>
  <c r="E159" i="63"/>
  <c r="B147" i="85" s="1"/>
  <c r="D159" i="63"/>
  <c r="E158" i="63"/>
  <c r="B146" i="85" s="1"/>
  <c r="D158" i="63"/>
  <c r="E157" i="63"/>
  <c r="B145" i="85" s="1"/>
  <c r="D157" i="63"/>
  <c r="E156" i="63"/>
  <c r="B144" i="85" s="1"/>
  <c r="D156" i="63"/>
  <c r="E155" i="63"/>
  <c r="B143" i="85" s="1"/>
  <c r="D155" i="63"/>
  <c r="E154" i="63"/>
  <c r="B142" i="85" s="1"/>
  <c r="D154" i="63"/>
  <c r="E153" i="63"/>
  <c r="B141" i="85" s="1"/>
  <c r="D153" i="63"/>
  <c r="E152" i="63"/>
  <c r="B140" i="85" s="1"/>
  <c r="D152" i="63"/>
  <c r="E151" i="63"/>
  <c r="B139" i="85" s="1"/>
  <c r="D151" i="63"/>
  <c r="E150" i="63"/>
  <c r="B138" i="85" s="1"/>
  <c r="D150" i="63"/>
  <c r="E149" i="63"/>
  <c r="B137" i="85" s="1"/>
  <c r="D149" i="63"/>
  <c r="E148" i="63"/>
  <c r="B136" i="85" s="1"/>
  <c r="D148" i="63"/>
  <c r="E147" i="63"/>
  <c r="B135" i="85" s="1"/>
  <c r="D147" i="63"/>
  <c r="E146" i="63"/>
  <c r="B134" i="85" s="1"/>
  <c r="D146" i="63"/>
  <c r="E145" i="63"/>
  <c r="B133" i="85" s="1"/>
  <c r="D145" i="63"/>
  <c r="E144" i="63"/>
  <c r="B132" i="85" s="1"/>
  <c r="D144" i="63"/>
  <c r="E143" i="63"/>
  <c r="B131" i="85" s="1"/>
  <c r="D143" i="63"/>
  <c r="E142" i="63"/>
  <c r="B130" i="85" s="1"/>
  <c r="D142" i="63"/>
  <c r="E141" i="63"/>
  <c r="B129" i="85" s="1"/>
  <c r="D141" i="63"/>
  <c r="E140" i="63"/>
  <c r="B128" i="85" s="1"/>
  <c r="D140" i="63"/>
  <c r="E139" i="63"/>
  <c r="B127" i="85" s="1"/>
  <c r="D139" i="63"/>
  <c r="E138" i="63"/>
  <c r="B126" i="85" s="1"/>
  <c r="D138" i="63"/>
  <c r="E137" i="63"/>
  <c r="B125" i="85" s="1"/>
  <c r="D137" i="63"/>
  <c r="E136" i="63"/>
  <c r="B124" i="85" s="1"/>
  <c r="D136" i="63"/>
  <c r="E135" i="63"/>
  <c r="B123" i="85" s="1"/>
  <c r="D135" i="63"/>
  <c r="E134" i="63"/>
  <c r="B122" i="85" s="1"/>
  <c r="D134" i="63"/>
  <c r="E133" i="63"/>
  <c r="B121" i="85" s="1"/>
  <c r="D133" i="63"/>
  <c r="E132" i="63"/>
  <c r="B120" i="85" s="1"/>
  <c r="D132" i="63"/>
  <c r="E131" i="63"/>
  <c r="B119" i="85" s="1"/>
  <c r="D131" i="63"/>
  <c r="E130" i="63"/>
  <c r="B118" i="85" s="1"/>
  <c r="D130" i="63"/>
  <c r="E129" i="63"/>
  <c r="B117" i="85" s="1"/>
  <c r="D129" i="63"/>
  <c r="E128" i="63"/>
  <c r="B116" i="85" s="1"/>
  <c r="D128" i="63"/>
  <c r="E127" i="63"/>
  <c r="B115" i="85" s="1"/>
  <c r="D127" i="63"/>
  <c r="E126" i="63"/>
  <c r="B114" i="85" s="1"/>
  <c r="D126" i="63"/>
  <c r="E125" i="63"/>
  <c r="B113" i="85" s="1"/>
  <c r="D125" i="63"/>
  <c r="E124" i="63"/>
  <c r="B112" i="85" s="1"/>
  <c r="D124" i="63"/>
  <c r="E123" i="63"/>
  <c r="B111" i="85" s="1"/>
  <c r="D123" i="63"/>
  <c r="E122" i="63"/>
  <c r="B110" i="85" s="1"/>
  <c r="D122" i="63"/>
  <c r="E121" i="63"/>
  <c r="B109" i="85" s="1"/>
  <c r="D121" i="63"/>
  <c r="E120" i="63"/>
  <c r="B108" i="85" s="1"/>
  <c r="D120" i="63"/>
  <c r="E119" i="63"/>
  <c r="B107" i="85" s="1"/>
  <c r="D119" i="63"/>
  <c r="E118" i="63"/>
  <c r="B106" i="85" s="1"/>
  <c r="D118" i="63"/>
  <c r="E117" i="63"/>
  <c r="B105" i="85" s="1"/>
  <c r="D117" i="63"/>
  <c r="E116" i="63"/>
  <c r="B104" i="85" s="1"/>
  <c r="D116" i="63"/>
  <c r="E115" i="63"/>
  <c r="B103" i="85" s="1"/>
  <c r="D115" i="63"/>
  <c r="E114" i="63"/>
  <c r="B102" i="85" s="1"/>
  <c r="D114" i="63"/>
  <c r="E113" i="63"/>
  <c r="B101" i="85" s="1"/>
  <c r="D113" i="63"/>
  <c r="E112" i="63"/>
  <c r="B100" i="85" s="1"/>
  <c r="D112" i="63"/>
  <c r="E111" i="63"/>
  <c r="B99" i="85" s="1"/>
  <c r="D111" i="63"/>
  <c r="E110" i="63"/>
  <c r="B98" i="85" s="1"/>
  <c r="D110" i="63"/>
  <c r="E109" i="63"/>
  <c r="B97" i="85" s="1"/>
  <c r="D109" i="63"/>
  <c r="E108" i="63"/>
  <c r="B96" i="85" s="1"/>
  <c r="D108" i="63"/>
  <c r="E107" i="63"/>
  <c r="B95" i="85" s="1"/>
  <c r="D107" i="63"/>
  <c r="E106" i="63"/>
  <c r="B94" i="85" s="1"/>
  <c r="D106" i="63"/>
  <c r="E105" i="63"/>
  <c r="B93" i="85" s="1"/>
  <c r="D105" i="63"/>
  <c r="E104" i="63"/>
  <c r="B92" i="85" s="1"/>
  <c r="D104" i="63"/>
  <c r="E103" i="63"/>
  <c r="B91" i="85" s="1"/>
  <c r="D103" i="63"/>
  <c r="E102" i="63"/>
  <c r="B90" i="85" s="1"/>
  <c r="D102" i="63"/>
  <c r="E101" i="63"/>
  <c r="B89" i="85" s="1"/>
  <c r="D101" i="63"/>
  <c r="E100" i="63"/>
  <c r="B88" i="85" s="1"/>
  <c r="D100" i="63"/>
  <c r="E99" i="63"/>
  <c r="B87" i="85" s="1"/>
  <c r="D99" i="63"/>
  <c r="E98" i="63"/>
  <c r="B86" i="85" s="1"/>
  <c r="D98" i="63"/>
  <c r="E97" i="63"/>
  <c r="B85" i="85" s="1"/>
  <c r="D97" i="63"/>
  <c r="E96" i="63"/>
  <c r="B84" i="85" s="1"/>
  <c r="D96" i="63"/>
  <c r="E95" i="63"/>
  <c r="B83" i="85" s="1"/>
  <c r="D95" i="63"/>
  <c r="E94" i="63"/>
  <c r="B82" i="85" s="1"/>
  <c r="D94" i="63"/>
  <c r="E93" i="63"/>
  <c r="B81" i="85" s="1"/>
  <c r="D93" i="63"/>
  <c r="E92" i="63"/>
  <c r="B80" i="85" s="1"/>
  <c r="D92" i="63"/>
  <c r="E91" i="63"/>
  <c r="B79" i="85" s="1"/>
  <c r="D91" i="63"/>
  <c r="E90" i="63"/>
  <c r="B78" i="85" s="1"/>
  <c r="D90" i="63"/>
  <c r="E89" i="63"/>
  <c r="B77" i="85" s="1"/>
  <c r="D89" i="63"/>
  <c r="E88" i="63"/>
  <c r="B76" i="85" s="1"/>
  <c r="D88" i="63"/>
  <c r="E87" i="63"/>
  <c r="B75" i="85" s="1"/>
  <c r="D87" i="63"/>
  <c r="E86" i="63"/>
  <c r="B74" i="85" s="1"/>
  <c r="D86" i="63"/>
  <c r="E85" i="63"/>
  <c r="B73" i="85" s="1"/>
  <c r="D85" i="63"/>
  <c r="E84" i="63"/>
  <c r="B72" i="85" s="1"/>
  <c r="D84" i="63"/>
  <c r="E83" i="63"/>
  <c r="B71" i="85" s="1"/>
  <c r="D83" i="63"/>
  <c r="E82" i="63"/>
  <c r="B70" i="85" s="1"/>
  <c r="D82" i="63"/>
  <c r="E81" i="63"/>
  <c r="B69" i="85" s="1"/>
  <c r="D81" i="63"/>
  <c r="E80" i="63"/>
  <c r="B68" i="85" s="1"/>
  <c r="D80" i="63"/>
  <c r="E79" i="63"/>
  <c r="B67" i="85" s="1"/>
  <c r="D79" i="63"/>
  <c r="E78" i="63"/>
  <c r="B66" i="85" s="1"/>
  <c r="D78" i="63"/>
  <c r="E77" i="63"/>
  <c r="B65" i="85" s="1"/>
  <c r="D77" i="63"/>
  <c r="E76" i="63"/>
  <c r="B64" i="85" s="1"/>
  <c r="D76" i="63"/>
  <c r="E75" i="63"/>
  <c r="B63" i="85" s="1"/>
  <c r="D75" i="63"/>
  <c r="E74" i="63"/>
  <c r="B62" i="85" s="1"/>
  <c r="D74" i="63"/>
  <c r="E73" i="63"/>
  <c r="B61" i="85" s="1"/>
  <c r="D73" i="63"/>
  <c r="E72" i="63"/>
  <c r="B60" i="85" s="1"/>
  <c r="D72" i="63"/>
  <c r="E71" i="63"/>
  <c r="B59" i="85" s="1"/>
  <c r="D71" i="63"/>
  <c r="E70" i="63"/>
  <c r="B58" i="85" s="1"/>
  <c r="D70" i="63"/>
  <c r="E69" i="63"/>
  <c r="B57" i="85" s="1"/>
  <c r="D69" i="63"/>
  <c r="E68" i="63"/>
  <c r="B56" i="85" s="1"/>
  <c r="D68" i="63"/>
  <c r="E67" i="63"/>
  <c r="B55" i="85" s="1"/>
  <c r="D67" i="63"/>
  <c r="E66" i="63"/>
  <c r="B54" i="85" s="1"/>
  <c r="D66" i="63"/>
  <c r="E65" i="63"/>
  <c r="B53" i="85" s="1"/>
  <c r="D65" i="63"/>
  <c r="E64" i="63"/>
  <c r="B52" i="85" s="1"/>
  <c r="D64" i="63"/>
  <c r="E63" i="63"/>
  <c r="B51" i="85" s="1"/>
  <c r="D63" i="63"/>
  <c r="E62" i="63"/>
  <c r="B50" i="85" s="1"/>
  <c r="D62" i="63"/>
  <c r="E61" i="63"/>
  <c r="B49" i="85" s="1"/>
  <c r="D61" i="63"/>
  <c r="E60" i="63"/>
  <c r="B48" i="85" s="1"/>
  <c r="D60" i="63"/>
  <c r="E59" i="63"/>
  <c r="B47" i="85" s="1"/>
  <c r="D59" i="63"/>
  <c r="E58" i="63"/>
  <c r="B46" i="85" s="1"/>
  <c r="D58" i="63"/>
  <c r="E57" i="63"/>
  <c r="B45" i="85" s="1"/>
  <c r="D57" i="63"/>
  <c r="E56" i="63"/>
  <c r="B44" i="85" s="1"/>
  <c r="D56" i="63"/>
  <c r="E55" i="63"/>
  <c r="B43" i="85" s="1"/>
  <c r="D55" i="63"/>
  <c r="E54" i="63"/>
  <c r="B42" i="85" s="1"/>
  <c r="D54" i="63"/>
  <c r="E53" i="63"/>
  <c r="B41" i="85" s="1"/>
  <c r="D53" i="63"/>
  <c r="E52" i="63"/>
  <c r="B40" i="85" s="1"/>
  <c r="D52" i="63"/>
  <c r="E51" i="63"/>
  <c r="B39" i="85" s="1"/>
  <c r="D51" i="63"/>
  <c r="E50" i="63"/>
  <c r="B38" i="85" s="1"/>
  <c r="D50" i="63"/>
  <c r="E49" i="63"/>
  <c r="B37" i="85" s="1"/>
  <c r="D49" i="63"/>
  <c r="E48" i="63"/>
  <c r="B36" i="85" s="1"/>
  <c r="D48" i="63"/>
  <c r="E47" i="63"/>
  <c r="B35" i="85" s="1"/>
  <c r="D47" i="63"/>
  <c r="E46" i="63"/>
  <c r="B34" i="85" s="1"/>
  <c r="D46" i="63"/>
  <c r="E45" i="63"/>
  <c r="B33" i="85" s="1"/>
  <c r="D45" i="63"/>
  <c r="E44" i="63"/>
  <c r="B32" i="85" s="1"/>
  <c r="D44" i="63"/>
  <c r="E43" i="63"/>
  <c r="B31" i="85" s="1"/>
  <c r="D43" i="63"/>
  <c r="E42" i="63"/>
  <c r="B30" i="85" s="1"/>
  <c r="D42" i="63"/>
  <c r="E41" i="63"/>
  <c r="B29" i="85" s="1"/>
  <c r="D41" i="63"/>
  <c r="E40" i="63"/>
  <c r="B28" i="85" s="1"/>
  <c r="D40" i="63"/>
  <c r="E39" i="63"/>
  <c r="B27" i="85" s="1"/>
  <c r="D39" i="63"/>
  <c r="E38" i="63"/>
  <c r="B26" i="85" s="1"/>
  <c r="D38" i="63"/>
  <c r="E37" i="63"/>
  <c r="B25" i="85" s="1"/>
  <c r="D37" i="63"/>
  <c r="E36" i="63"/>
  <c r="B24" i="85" s="1"/>
  <c r="D36" i="63"/>
  <c r="E35" i="63"/>
  <c r="B23" i="85" s="1"/>
  <c r="D35" i="63"/>
  <c r="E34" i="63"/>
  <c r="B22" i="85" s="1"/>
  <c r="D34" i="63"/>
  <c r="E33" i="63"/>
  <c r="B21" i="85" s="1"/>
  <c r="D33" i="63"/>
  <c r="E32" i="63"/>
  <c r="B20" i="85" s="1"/>
  <c r="D32" i="63"/>
  <c r="E31" i="63"/>
  <c r="B19" i="85" s="1"/>
  <c r="D31" i="63"/>
  <c r="E30" i="63"/>
  <c r="B18" i="85" s="1"/>
  <c r="D30" i="63"/>
  <c r="E29" i="63"/>
  <c r="B17" i="85" s="1"/>
  <c r="D29" i="63"/>
  <c r="E28" i="63"/>
  <c r="B16" i="85" s="1"/>
  <c r="D28" i="63"/>
  <c r="E27" i="63"/>
  <c r="B15" i="85" s="1"/>
  <c r="D27" i="63"/>
  <c r="E26" i="63"/>
  <c r="B14" i="85" s="1"/>
  <c r="D26" i="63"/>
  <c r="E25" i="63"/>
  <c r="B13" i="85" s="1"/>
  <c r="D25" i="63"/>
  <c r="E24" i="63"/>
  <c r="B12" i="85" s="1"/>
  <c r="D24" i="63"/>
  <c r="E23" i="63"/>
  <c r="B11" i="85" s="1"/>
  <c r="D23" i="63"/>
  <c r="E22" i="63"/>
  <c r="B10" i="85" s="1"/>
  <c r="D22" i="63"/>
  <c r="E21" i="63"/>
  <c r="B9" i="85" s="1"/>
  <c r="D21" i="63"/>
  <c r="E20" i="63"/>
  <c r="B8" i="85" s="1"/>
  <c r="D20" i="63"/>
  <c r="E19" i="63"/>
  <c r="B7" i="85" s="1"/>
  <c r="D19" i="63"/>
  <c r="E18" i="63"/>
  <c r="B6" i="85" s="1"/>
  <c r="D18" i="63"/>
  <c r="E17" i="63"/>
  <c r="B5" i="85" s="1"/>
  <c r="D17" i="63"/>
  <c r="E16" i="63"/>
  <c r="B4" i="85" s="1"/>
  <c r="D16" i="63"/>
  <c r="D15" i="63"/>
  <c r="D14" i="63"/>
  <c r="D13" i="63"/>
  <c r="D12" i="63"/>
  <c r="D11" i="63"/>
  <c r="D10" i="63"/>
  <c r="D9" i="63"/>
  <c r="D8" i="63"/>
  <c r="D7" i="63"/>
  <c r="D6" i="63"/>
  <c r="D5" i="63"/>
  <c r="L10" i="28"/>
  <c r="L11" i="28"/>
  <c r="L50" i="28"/>
  <c r="AC27" i="32"/>
  <c r="AM36" i="32"/>
  <c r="AB45" i="32"/>
  <c r="AC45" i="32" s="1"/>
  <c r="AP49" i="32"/>
  <c r="AC49" i="32"/>
  <c r="K28" i="28"/>
  <c r="L53" i="28"/>
  <c r="L54" i="28"/>
  <c r="L27" i="28"/>
  <c r="L35" i="28"/>
  <c r="L41" i="28"/>
  <c r="N38" i="32"/>
  <c r="O38" i="32"/>
  <c r="P38" i="32" s="1"/>
  <c r="BG39" i="32"/>
  <c r="BH39" i="32" s="1"/>
  <c r="L14" i="28"/>
  <c r="J22" i="28"/>
  <c r="J21" i="28"/>
  <c r="J30" i="28"/>
  <c r="J29" i="28"/>
  <c r="AW31" i="32"/>
  <c r="AW30" i="32"/>
  <c r="BD32" i="32"/>
  <c r="BF32" i="32"/>
  <c r="AB37" i="32"/>
  <c r="AC37" i="32" s="1"/>
  <c r="AW47" i="32"/>
  <c r="BD47" i="32"/>
  <c r="AW46" i="32"/>
  <c r="AJ50" i="32"/>
  <c r="AL50" i="32" s="1"/>
  <c r="AM50" i="32" s="1"/>
  <c r="AP53" i="32"/>
  <c r="AL53" i="32"/>
  <c r="AM53" i="32" s="1"/>
  <c r="K52" i="51"/>
  <c r="K8" i="28"/>
  <c r="K12" i="28"/>
  <c r="K16" i="28"/>
  <c r="AJ32" i="32"/>
  <c r="AL32" i="32" s="1"/>
  <c r="AM32" i="32"/>
  <c r="P34" i="32"/>
  <c r="BD43" i="32"/>
  <c r="AW42" i="32"/>
  <c r="K40" i="51"/>
  <c r="AH7" i="42"/>
  <c r="K42" i="28"/>
  <c r="K46" i="28"/>
  <c r="K50" i="28"/>
  <c r="BF36" i="32"/>
  <c r="BG36" i="32" s="1"/>
  <c r="BH36" i="32" s="1"/>
  <c r="AW39" i="32"/>
  <c r="BD39" i="32"/>
  <c r="AW38" i="32"/>
  <c r="AP44" i="32"/>
  <c r="AJ44" i="32"/>
  <c r="AL44" i="32"/>
  <c r="AM44" i="32" s="1"/>
  <c r="P45" i="32"/>
  <c r="P46" i="32"/>
  <c r="BG51" i="32"/>
  <c r="BH51" i="32" s="1"/>
  <c r="P55" i="32"/>
  <c r="P58" i="32"/>
  <c r="P62" i="32"/>
  <c r="P68" i="32"/>
  <c r="P70" i="32"/>
  <c r="P72" i="32"/>
  <c r="P74" i="32"/>
  <c r="P76" i="32"/>
  <c r="K41" i="51"/>
  <c r="K59" i="51"/>
  <c r="L6" i="28"/>
  <c r="L7" i="28"/>
  <c r="K37" i="28"/>
  <c r="K41" i="28"/>
  <c r="K45" i="28"/>
  <c r="K49" i="28"/>
  <c r="K53" i="28"/>
  <c r="K58" i="28"/>
  <c r="K57" i="28"/>
  <c r="AW27" i="32"/>
  <c r="BD27" i="32"/>
  <c r="AW26" i="32"/>
  <c r="AW34" i="32"/>
  <c r="AJ40" i="32"/>
  <c r="AL40" i="32" s="1"/>
  <c r="AM40" i="32" s="1"/>
  <c r="AP41" i="32"/>
  <c r="AP43" i="32"/>
  <c r="BF48" i="32"/>
  <c r="BG48" i="32"/>
  <c r="BH48" i="32" s="1"/>
  <c r="P51" i="32"/>
  <c r="AP56" i="32"/>
  <c r="AP80" i="32"/>
  <c r="K20" i="51"/>
  <c r="K24" i="51"/>
  <c r="K32" i="51"/>
  <c r="K34" i="51"/>
  <c r="K43" i="51"/>
  <c r="K47" i="51"/>
  <c r="K64" i="51"/>
  <c r="K65" i="51"/>
  <c r="S16" i="42"/>
  <c r="S14" i="42"/>
  <c r="S12" i="42"/>
  <c r="S10" i="42"/>
  <c r="S9" i="42"/>
  <c r="S7" i="42"/>
  <c r="S5" i="42"/>
  <c r="S4" i="42"/>
  <c r="S13" i="42"/>
  <c r="S11" i="42"/>
  <c r="S15" i="42"/>
  <c r="S8" i="42"/>
  <c r="S6" i="42"/>
  <c r="AH5" i="42"/>
  <c r="AG5" i="42"/>
  <c r="AW53" i="32"/>
  <c r="BD53" i="32"/>
  <c r="AW52" i="32"/>
  <c r="BD57" i="32"/>
  <c r="AW56" i="32"/>
  <c r="AW57" i="32"/>
  <c r="BD59" i="32"/>
  <c r="AW58" i="32"/>
  <c r="AJ59" i="32"/>
  <c r="AL59" i="32" s="1"/>
  <c r="AM59" i="32" s="1"/>
  <c r="AW59" i="32"/>
  <c r="AW60" i="32"/>
  <c r="AP61" i="32"/>
  <c r="AJ61" i="32"/>
  <c r="AL61" i="32" s="1"/>
  <c r="AM61" i="32"/>
  <c r="AW61" i="32"/>
  <c r="BD63" i="32"/>
  <c r="AW62" i="32"/>
  <c r="AP63" i="32"/>
  <c r="AJ63" i="32"/>
  <c r="AL63" i="32"/>
  <c r="AM63" i="32" s="1"/>
  <c r="AW63" i="32"/>
  <c r="BD65" i="32"/>
  <c r="AP65" i="32"/>
  <c r="AJ65" i="32"/>
  <c r="AL65" i="32" s="1"/>
  <c r="AM65" i="32" s="1"/>
  <c r="AP67" i="32"/>
  <c r="AJ67" i="32"/>
  <c r="AL67" i="32"/>
  <c r="AM67" i="32" s="1"/>
  <c r="AW67" i="32"/>
  <c r="BD69" i="32"/>
  <c r="AW68" i="32"/>
  <c r="AP69" i="32"/>
  <c r="AJ69" i="32"/>
  <c r="AL69" i="32" s="1"/>
  <c r="AM69" i="32" s="1"/>
  <c r="AW69" i="32"/>
  <c r="BD71" i="32"/>
  <c r="AW70" i="32"/>
  <c r="AP71" i="32"/>
  <c r="AJ71" i="32"/>
  <c r="AL71" i="32"/>
  <c r="AM71" i="32" s="1"/>
  <c r="AW71" i="32"/>
  <c r="BD73" i="32"/>
  <c r="AW72" i="32"/>
  <c r="AP73" i="32"/>
  <c r="AJ73" i="32"/>
  <c r="AL73" i="32" s="1"/>
  <c r="AM73" i="32"/>
  <c r="AW73" i="32"/>
  <c r="BD75" i="32"/>
  <c r="AW74" i="32"/>
  <c r="AP75" i="32"/>
  <c r="AJ75" i="32"/>
  <c r="AL75" i="32"/>
  <c r="AM75" i="32" s="1"/>
  <c r="AW75" i="32"/>
  <c r="AP77" i="32"/>
  <c r="AJ77" i="32"/>
  <c r="AL77" i="32" s="1"/>
  <c r="AM77" i="32" s="1"/>
  <c r="BD79" i="32"/>
  <c r="AQ18" i="34"/>
  <c r="AR18" i="34"/>
  <c r="C33" i="51"/>
  <c r="C41" i="51"/>
  <c r="C49" i="51"/>
  <c r="K58" i="51"/>
  <c r="C69" i="51"/>
  <c r="C85" i="51"/>
  <c r="C101" i="51"/>
  <c r="C117" i="51"/>
  <c r="C133" i="51"/>
  <c r="C149" i="51"/>
  <c r="C165" i="51"/>
  <c r="C181" i="51"/>
  <c r="C197" i="51"/>
  <c r="C213" i="51"/>
  <c r="C229" i="51"/>
  <c r="C245" i="51"/>
  <c r="C261" i="51"/>
  <c r="C277" i="51"/>
  <c r="C293" i="51"/>
  <c r="C317" i="51"/>
  <c r="C349" i="51"/>
  <c r="C381" i="51"/>
  <c r="C413" i="51"/>
  <c r="C445" i="51"/>
  <c r="C477" i="51"/>
  <c r="C509" i="51"/>
  <c r="C541" i="51"/>
  <c r="C573" i="51"/>
  <c r="C605" i="51"/>
  <c r="C637" i="51"/>
  <c r="AW6" i="42"/>
  <c r="AY6" i="42" s="1"/>
  <c r="AZ6" i="42" s="1"/>
  <c r="AW8" i="42"/>
  <c r="AY8" i="42" s="1"/>
  <c r="AZ8" i="42" s="1"/>
  <c r="BC8" i="42"/>
  <c r="AQ13" i="42"/>
  <c r="BC14" i="42"/>
  <c r="AW14" i="42"/>
  <c r="AY14" i="42"/>
  <c r="AZ14" i="42" s="1"/>
  <c r="BG52" i="32"/>
  <c r="BH52" i="32" s="1"/>
  <c r="AP54" i="32"/>
  <c r="AJ54" i="32"/>
  <c r="AL54" i="32"/>
  <c r="AM54" i="32" s="1"/>
  <c r="C695" i="51"/>
  <c r="C691" i="51"/>
  <c r="C687" i="51"/>
  <c r="C683" i="51"/>
  <c r="C679" i="51"/>
  <c r="C675" i="51"/>
  <c r="C674" i="51"/>
  <c r="C676" i="51"/>
  <c r="C677" i="51"/>
  <c r="C678" i="51"/>
  <c r="C680" i="51"/>
  <c r="C681" i="51"/>
  <c r="C682" i="51"/>
  <c r="C684" i="51"/>
  <c r="C685" i="51"/>
  <c r="C671" i="51"/>
  <c r="C667" i="51"/>
  <c r="C663" i="51"/>
  <c r="C659" i="51"/>
  <c r="C655" i="51"/>
  <c r="C651" i="51"/>
  <c r="C647" i="51"/>
  <c r="C643" i="51"/>
  <c r="C639" i="51"/>
  <c r="C635" i="51"/>
  <c r="C631" i="51"/>
  <c r="C627" i="51"/>
  <c r="C623" i="51"/>
  <c r="C619" i="51"/>
  <c r="C615" i="51"/>
  <c r="C611" i="51"/>
  <c r="C607" i="51"/>
  <c r="C603" i="51"/>
  <c r="C599" i="51"/>
  <c r="C595" i="51"/>
  <c r="C591" i="51"/>
  <c r="C587" i="51"/>
  <c r="C583" i="51"/>
  <c r="C579" i="51"/>
  <c r="C575" i="51"/>
  <c r="C571" i="51"/>
  <c r="C567" i="51"/>
  <c r="C563" i="51"/>
  <c r="C559" i="51"/>
  <c r="C555" i="51"/>
  <c r="C551" i="51"/>
  <c r="C547" i="51"/>
  <c r="C543" i="51"/>
  <c r="C539" i="51"/>
  <c r="C535" i="51"/>
  <c r="C531" i="51"/>
  <c r="C527" i="51"/>
  <c r="C523" i="51"/>
  <c r="C519" i="51"/>
  <c r="C515" i="51"/>
  <c r="C511" i="51"/>
  <c r="C507" i="51"/>
  <c r="C503" i="51"/>
  <c r="C499" i="51"/>
  <c r="C495" i="51"/>
  <c r="C491" i="51"/>
  <c r="C487" i="51"/>
  <c r="C483" i="51"/>
  <c r="C482" i="51"/>
  <c r="C484" i="51"/>
  <c r="C485" i="51"/>
  <c r="C486" i="51"/>
  <c r="C488" i="51"/>
  <c r="C489" i="51"/>
  <c r="C490" i="51"/>
  <c r="C492" i="51"/>
  <c r="C493" i="51"/>
  <c r="C470" i="51"/>
  <c r="G51" i="51" s="1"/>
  <c r="C471" i="51"/>
  <c r="C472" i="51"/>
  <c r="C473" i="51"/>
  <c r="C474" i="51"/>
  <c r="C475" i="51"/>
  <c r="C476" i="51"/>
  <c r="C478" i="51"/>
  <c r="C479" i="51"/>
  <c r="C480" i="51"/>
  <c r="C481" i="51"/>
  <c r="C467" i="51"/>
  <c r="C463" i="51"/>
  <c r="C459" i="51"/>
  <c r="C455" i="51"/>
  <c r="C451" i="51"/>
  <c r="C447" i="51"/>
  <c r="C443" i="51"/>
  <c r="C439" i="51"/>
  <c r="C435" i="51"/>
  <c r="C431" i="51"/>
  <c r="C427" i="51"/>
  <c r="C423" i="51"/>
  <c r="C419" i="51"/>
  <c r="C415" i="51"/>
  <c r="C411" i="51"/>
  <c r="C407" i="51"/>
  <c r="C403" i="51"/>
  <c r="C399" i="51"/>
  <c r="C395" i="51"/>
  <c r="C391" i="51"/>
  <c r="C387" i="51"/>
  <c r="C383" i="51"/>
  <c r="C379" i="51"/>
  <c r="C375" i="51"/>
  <c r="C371" i="51"/>
  <c r="C367" i="51"/>
  <c r="C363" i="51"/>
  <c r="C359" i="51"/>
  <c r="C355" i="51"/>
  <c r="C351" i="51"/>
  <c r="C347" i="51"/>
  <c r="C343" i="51"/>
  <c r="C339" i="51"/>
  <c r="C335" i="51"/>
  <c r="C331" i="51"/>
  <c r="C327" i="51"/>
  <c r="C326" i="51"/>
  <c r="C328" i="51"/>
  <c r="C329" i="51"/>
  <c r="C330" i="51"/>
  <c r="C332" i="51"/>
  <c r="C333" i="51"/>
  <c r="C334" i="51"/>
  <c r="C337" i="51"/>
  <c r="C323" i="51"/>
  <c r="C319" i="51"/>
  <c r="C315" i="51"/>
  <c r="C311" i="51"/>
  <c r="C307" i="51"/>
  <c r="C303" i="51"/>
  <c r="C694" i="51"/>
  <c r="C690" i="51"/>
  <c r="C686" i="51"/>
  <c r="C670" i="51"/>
  <c r="C666" i="51"/>
  <c r="C662" i="51"/>
  <c r="C658" i="51"/>
  <c r="C654" i="51"/>
  <c r="C650" i="51"/>
  <c r="C646" i="51"/>
  <c r="C642" i="51"/>
  <c r="C638" i="51"/>
  <c r="C640" i="51"/>
  <c r="C641" i="51"/>
  <c r="C644" i="51"/>
  <c r="C645" i="51"/>
  <c r="C648" i="51"/>
  <c r="C649" i="51"/>
  <c r="C634" i="51"/>
  <c r="C630" i="51"/>
  <c r="C626" i="51"/>
  <c r="C628" i="51"/>
  <c r="C629" i="51"/>
  <c r="G64" i="51" s="1"/>
  <c r="C632" i="51"/>
  <c r="C633" i="51"/>
  <c r="C636" i="51"/>
  <c r="C622" i="51"/>
  <c r="C618" i="51"/>
  <c r="C614" i="51"/>
  <c r="C610" i="51"/>
  <c r="C606" i="51"/>
  <c r="C602" i="51"/>
  <c r="C598" i="51"/>
  <c r="C594" i="51"/>
  <c r="C590" i="51"/>
  <c r="C586" i="51"/>
  <c r="C582" i="51"/>
  <c r="C578" i="51"/>
  <c r="G60" i="51" s="1"/>
  <c r="C580" i="51"/>
  <c r="C581" i="51"/>
  <c r="C584" i="51"/>
  <c r="C585" i="51"/>
  <c r="C588" i="51"/>
  <c r="C589" i="51"/>
  <c r="C574" i="51"/>
  <c r="C570" i="51"/>
  <c r="C566" i="51"/>
  <c r="C562" i="51"/>
  <c r="C558" i="51"/>
  <c r="C554" i="51"/>
  <c r="C550" i="51"/>
  <c r="C546" i="51"/>
  <c r="C542" i="51"/>
  <c r="C544" i="51"/>
  <c r="C545" i="51"/>
  <c r="C548" i="51"/>
  <c r="C549" i="51"/>
  <c r="C552" i="51"/>
  <c r="C553" i="51"/>
  <c r="C538" i="51"/>
  <c r="C534" i="51"/>
  <c r="C530" i="51"/>
  <c r="C526" i="51"/>
  <c r="C522" i="51"/>
  <c r="C518" i="51"/>
  <c r="C514" i="51"/>
  <c r="C510" i="51"/>
  <c r="C506" i="51"/>
  <c r="G54" i="51" s="1"/>
  <c r="C502" i="51"/>
  <c r="C498" i="51"/>
  <c r="C494" i="51"/>
  <c r="C497" i="51"/>
  <c r="C500" i="51"/>
  <c r="C501" i="51"/>
  <c r="C504" i="51"/>
  <c r="C505" i="51"/>
  <c r="C466" i="51"/>
  <c r="C462" i="51"/>
  <c r="C458" i="51"/>
  <c r="C454" i="51"/>
  <c r="C450" i="51"/>
  <c r="C446" i="51"/>
  <c r="C448" i="51"/>
  <c r="C449" i="51"/>
  <c r="C452" i="51"/>
  <c r="C453" i="51"/>
  <c r="C456" i="51"/>
  <c r="C457" i="51"/>
  <c r="C442" i="51"/>
  <c r="C438" i="51"/>
  <c r="C434" i="51"/>
  <c r="C436" i="51"/>
  <c r="C437" i="51"/>
  <c r="C440" i="51"/>
  <c r="C441" i="51"/>
  <c r="C444" i="51"/>
  <c r="C430" i="51"/>
  <c r="C426" i="51"/>
  <c r="C422" i="51"/>
  <c r="C418" i="51"/>
  <c r="C414" i="51"/>
  <c r="C410" i="51"/>
  <c r="C406" i="51"/>
  <c r="C402" i="51"/>
  <c r="C398" i="51"/>
  <c r="C394" i="51"/>
  <c r="C390" i="51"/>
  <c r="C386" i="51"/>
  <c r="C388" i="51"/>
  <c r="C389" i="51"/>
  <c r="C392" i="51"/>
  <c r="C393" i="51"/>
  <c r="C396" i="51"/>
  <c r="C397" i="51"/>
  <c r="C382" i="51"/>
  <c r="C378" i="51"/>
  <c r="C374" i="51"/>
  <c r="C370" i="51"/>
  <c r="C366" i="51"/>
  <c r="C362" i="51"/>
  <c r="C358" i="51"/>
  <c r="C354" i="51"/>
  <c r="C350" i="51"/>
  <c r="C352" i="51"/>
  <c r="C353" i="51"/>
  <c r="C356" i="51"/>
  <c r="C357" i="51"/>
  <c r="C360" i="51"/>
  <c r="C361" i="51"/>
  <c r="C346" i="51"/>
  <c r="C342" i="51"/>
  <c r="C338" i="51"/>
  <c r="C322" i="51"/>
  <c r="C318" i="51"/>
  <c r="C314" i="51"/>
  <c r="C310" i="51"/>
  <c r="C306" i="51"/>
  <c r="C302" i="51"/>
  <c r="C692" i="51"/>
  <c r="C668" i="51"/>
  <c r="C660" i="51"/>
  <c r="C652" i="51"/>
  <c r="C620" i="51"/>
  <c r="C612" i="51"/>
  <c r="C604" i="51"/>
  <c r="C596" i="51"/>
  <c r="C572" i="51"/>
  <c r="C568" i="51"/>
  <c r="C569" i="51"/>
  <c r="C576" i="51"/>
  <c r="C577" i="51"/>
  <c r="C564" i="51"/>
  <c r="C556" i="51"/>
  <c r="C540" i="51"/>
  <c r="C532" i="51"/>
  <c r="C524" i="51"/>
  <c r="C516" i="51"/>
  <c r="C508" i="51"/>
  <c r="C512" i="51"/>
  <c r="C513" i="51"/>
  <c r="C517" i="51"/>
  <c r="C468" i="51"/>
  <c r="C460" i="51"/>
  <c r="C428" i="51"/>
  <c r="C420" i="51"/>
  <c r="C412" i="51"/>
  <c r="C416" i="51"/>
  <c r="C417" i="51"/>
  <c r="C421" i="51"/>
  <c r="C404" i="51"/>
  <c r="C380" i="51"/>
  <c r="C376" i="51"/>
  <c r="C377" i="51"/>
  <c r="C384" i="51"/>
  <c r="C385" i="51"/>
  <c r="C372" i="51"/>
  <c r="C364" i="51"/>
  <c r="C348" i="51"/>
  <c r="C340" i="51"/>
  <c r="C324" i="51"/>
  <c r="C316" i="51"/>
  <c r="C320" i="51"/>
  <c r="C321" i="51"/>
  <c r="C325" i="51"/>
  <c r="C308" i="51"/>
  <c r="C300" i="51"/>
  <c r="C296" i="51"/>
  <c r="C292" i="51"/>
  <c r="C288" i="51"/>
  <c r="C284" i="51"/>
  <c r="C280" i="51"/>
  <c r="C276" i="51"/>
  <c r="C272" i="51"/>
  <c r="C268" i="51"/>
  <c r="C264" i="51"/>
  <c r="C260" i="51"/>
  <c r="C256" i="51"/>
  <c r="C252" i="51"/>
  <c r="C248" i="51"/>
  <c r="C244" i="51"/>
  <c r="C240" i="51"/>
  <c r="C236" i="51"/>
  <c r="C232" i="51"/>
  <c r="C228" i="51"/>
  <c r="C224" i="51"/>
  <c r="C220" i="51"/>
  <c r="C216" i="51"/>
  <c r="C212" i="51"/>
  <c r="C208" i="51"/>
  <c r="C204" i="51"/>
  <c r="C200" i="51"/>
  <c r="C196" i="51"/>
  <c r="C192" i="51"/>
  <c r="C188" i="51"/>
  <c r="C184" i="51"/>
  <c r="C180" i="51"/>
  <c r="C176" i="51"/>
  <c r="C172" i="51"/>
  <c r="C168" i="51"/>
  <c r="C164" i="51"/>
  <c r="C160" i="51"/>
  <c r="C159" i="51"/>
  <c r="C161" i="51"/>
  <c r="C162" i="51"/>
  <c r="C163" i="51"/>
  <c r="C166" i="51"/>
  <c r="C167" i="51"/>
  <c r="C169" i="51"/>
  <c r="C156" i="51"/>
  <c r="C152" i="51"/>
  <c r="C148" i="51"/>
  <c r="C144" i="51"/>
  <c r="C140" i="51"/>
  <c r="C136" i="51"/>
  <c r="C132" i="51"/>
  <c r="C128" i="51"/>
  <c r="C124" i="51"/>
  <c r="C120" i="51"/>
  <c r="C116" i="51"/>
  <c r="C112" i="51"/>
  <c r="C108" i="51"/>
  <c r="C104" i="51"/>
  <c r="C100" i="51"/>
  <c r="C96" i="51"/>
  <c r="C92" i="51"/>
  <c r="C88" i="51"/>
  <c r="C84" i="51"/>
  <c r="C74" i="51"/>
  <c r="C75" i="51"/>
  <c r="C76" i="51"/>
  <c r="C77" i="51"/>
  <c r="C79" i="51"/>
  <c r="C80" i="51"/>
  <c r="C81" i="51"/>
  <c r="C82" i="51"/>
  <c r="C83" i="51"/>
  <c r="C72" i="51"/>
  <c r="C68" i="51"/>
  <c r="C62" i="51"/>
  <c r="C63" i="51"/>
  <c r="C64" i="51"/>
  <c r="C65" i="51"/>
  <c r="C66" i="51"/>
  <c r="C67" i="51"/>
  <c r="C70" i="51"/>
  <c r="C71" i="51"/>
  <c r="C73" i="51"/>
  <c r="C60" i="51"/>
  <c r="C56" i="51"/>
  <c r="C52" i="51"/>
  <c r="C48" i="51"/>
  <c r="C697" i="51"/>
  <c r="C689" i="51"/>
  <c r="C673" i="51"/>
  <c r="C665" i="51"/>
  <c r="C657" i="51"/>
  <c r="C625" i="51"/>
  <c r="C617" i="51"/>
  <c r="C609" i="51"/>
  <c r="C601" i="51"/>
  <c r="C593" i="51"/>
  <c r="C561" i="51"/>
  <c r="C537" i="51"/>
  <c r="C529" i="51"/>
  <c r="C521" i="51"/>
  <c r="C465" i="51"/>
  <c r="C433" i="51"/>
  <c r="C425" i="51"/>
  <c r="C409" i="51"/>
  <c r="C401" i="51"/>
  <c r="C369" i="51"/>
  <c r="C345" i="51"/>
  <c r="C313" i="51"/>
  <c r="C305" i="51"/>
  <c r="C299" i="51"/>
  <c r="C295" i="51"/>
  <c r="C291" i="51"/>
  <c r="C287" i="51"/>
  <c r="C283" i="51"/>
  <c r="C279" i="51"/>
  <c r="C275" i="51"/>
  <c r="C271" i="51"/>
  <c r="C267" i="51"/>
  <c r="C266" i="51"/>
  <c r="C269" i="51"/>
  <c r="C273" i="51"/>
  <c r="C274" i="51"/>
  <c r="C263" i="51"/>
  <c r="C259" i="51"/>
  <c r="C255" i="51"/>
  <c r="C257" i="51"/>
  <c r="C258" i="51"/>
  <c r="C262" i="51"/>
  <c r="C265" i="51"/>
  <c r="G33" i="51"/>
  <c r="Q33" i="51" s="1"/>
  <c r="C251" i="51"/>
  <c r="C247" i="51"/>
  <c r="C243" i="51"/>
  <c r="C239" i="51"/>
  <c r="C235" i="51"/>
  <c r="C231" i="51"/>
  <c r="C227" i="51"/>
  <c r="C223" i="51"/>
  <c r="C219" i="51"/>
  <c r="C215" i="51"/>
  <c r="C211" i="51"/>
  <c r="C207" i="51"/>
  <c r="C205" i="51"/>
  <c r="C209" i="51"/>
  <c r="C210" i="51"/>
  <c r="C214" i="51"/>
  <c r="C203" i="51"/>
  <c r="C199" i="51"/>
  <c r="C195" i="51"/>
  <c r="C191" i="51"/>
  <c r="C187" i="51"/>
  <c r="C183" i="51"/>
  <c r="C179" i="51"/>
  <c r="C175" i="51"/>
  <c r="C171" i="51"/>
  <c r="C155" i="51"/>
  <c r="C151" i="51"/>
  <c r="C147" i="51"/>
  <c r="C143" i="51"/>
  <c r="C139" i="51"/>
  <c r="C135" i="51"/>
  <c r="C131" i="51"/>
  <c r="C127" i="51"/>
  <c r="C123" i="51"/>
  <c r="C119" i="51"/>
  <c r="C115" i="51"/>
  <c r="C111" i="51"/>
  <c r="C113" i="51"/>
  <c r="C114" i="51"/>
  <c r="C118" i="51"/>
  <c r="C121" i="51"/>
  <c r="C107" i="51"/>
  <c r="C103" i="51"/>
  <c r="G20" i="51" s="1"/>
  <c r="C99" i="51"/>
  <c r="C95" i="51"/>
  <c r="C91" i="51"/>
  <c r="C87" i="51"/>
  <c r="C59" i="51"/>
  <c r="C55" i="51"/>
  <c r="C51" i="51"/>
  <c r="C53" i="51"/>
  <c r="C54" i="51"/>
  <c r="C57" i="51"/>
  <c r="C58" i="51"/>
  <c r="C61" i="51"/>
  <c r="C47" i="51"/>
  <c r="C696" i="51"/>
  <c r="C664" i="51"/>
  <c r="C616" i="51"/>
  <c r="C600" i="51"/>
  <c r="C536" i="51"/>
  <c r="C520" i="51"/>
  <c r="C424" i="51"/>
  <c r="C408" i="51"/>
  <c r="C344" i="51"/>
  <c r="C312" i="51"/>
  <c r="C298" i="51"/>
  <c r="C290" i="51"/>
  <c r="C294" i="51"/>
  <c r="C297" i="51"/>
  <c r="C301" i="51"/>
  <c r="C282" i="51"/>
  <c r="C250" i="51"/>
  <c r="C242" i="51"/>
  <c r="C246" i="51"/>
  <c r="C249" i="51"/>
  <c r="C253" i="51"/>
  <c r="G32" i="51"/>
  <c r="C234" i="51"/>
  <c r="C226" i="51"/>
  <c r="C218" i="51"/>
  <c r="C202" i="51"/>
  <c r="C194" i="51"/>
  <c r="G28" i="51" s="1"/>
  <c r="C186" i="51"/>
  <c r="C178" i="51"/>
  <c r="G26" i="51" s="1"/>
  <c r="C170" i="51"/>
  <c r="C154" i="51"/>
  <c r="C146" i="51"/>
  <c r="C150" i="51"/>
  <c r="G24" i="51" s="1"/>
  <c r="Q24" i="51" s="1"/>
  <c r="C153" i="51"/>
  <c r="C157" i="51"/>
  <c r="C138" i="51"/>
  <c r="C130" i="51"/>
  <c r="C122" i="51"/>
  <c r="C106" i="51"/>
  <c r="C98" i="51"/>
  <c r="C102" i="51"/>
  <c r="C105" i="51"/>
  <c r="C109" i="51"/>
  <c r="C90" i="51"/>
  <c r="C45" i="51"/>
  <c r="C43" i="51"/>
  <c r="C39" i="51"/>
  <c r="C35" i="51"/>
  <c r="C31" i="51"/>
  <c r="C27" i="51"/>
  <c r="C23" i="51"/>
  <c r="C19" i="51"/>
  <c r="C15" i="51"/>
  <c r="C693" i="51"/>
  <c r="C661" i="51"/>
  <c r="C613" i="51"/>
  <c r="C597" i="51"/>
  <c r="C565" i="51"/>
  <c r="C533" i="51"/>
  <c r="G56" i="51" s="1"/>
  <c r="C469" i="51"/>
  <c r="C405" i="51"/>
  <c r="C373" i="51"/>
  <c r="C341" i="51"/>
  <c r="G40" i="51" s="1"/>
  <c r="C309" i="51"/>
  <c r="C289" i="51"/>
  <c r="C281" i="51"/>
  <c r="C241" i="51"/>
  <c r="C233" i="51"/>
  <c r="C225" i="51"/>
  <c r="C217" i="51"/>
  <c r="C201" i="51"/>
  <c r="C193" i="51"/>
  <c r="C185" i="51"/>
  <c r="C177" i="51"/>
  <c r="C145" i="51"/>
  <c r="C137" i="51"/>
  <c r="C129" i="51"/>
  <c r="C125" i="51"/>
  <c r="G22" i="51"/>
  <c r="Q22" i="51" s="1"/>
  <c r="C97" i="51"/>
  <c r="C89" i="51"/>
  <c r="C46" i="51"/>
  <c r="C42" i="51"/>
  <c r="C38" i="51"/>
  <c r="C34" i="51"/>
  <c r="C30" i="51"/>
  <c r="C24" i="51"/>
  <c r="C20" i="51"/>
  <c r="C16" i="51"/>
  <c r="C14" i="51"/>
  <c r="C18" i="51"/>
  <c r="C22" i="51"/>
  <c r="K18" i="51"/>
  <c r="K26" i="51"/>
  <c r="K29" i="51"/>
  <c r="K30" i="51"/>
  <c r="K31" i="51"/>
  <c r="C32" i="51"/>
  <c r="K37" i="51"/>
  <c r="C40" i="51"/>
  <c r="K45" i="51"/>
  <c r="K48" i="51"/>
  <c r="K51" i="51"/>
  <c r="K68" i="51"/>
  <c r="C86" i="51"/>
  <c r="C134" i="51"/>
  <c r="C141" i="51"/>
  <c r="C182" i="51"/>
  <c r="G27" i="51" s="1"/>
  <c r="Q27" i="51" s="1"/>
  <c r="C198" i="51"/>
  <c r="C230" i="51"/>
  <c r="C278" i="51"/>
  <c r="C608" i="51"/>
  <c r="G62" i="51" s="1"/>
  <c r="C672" i="51"/>
  <c r="AH12" i="42"/>
  <c r="AG12" i="42"/>
  <c r="AW28" i="32"/>
  <c r="AJ30" i="32"/>
  <c r="AL30" i="32"/>
  <c r="AM30" i="32" s="1"/>
  <c r="AW32" i="32"/>
  <c r="AJ34" i="32"/>
  <c r="AL34" i="32"/>
  <c r="AM34" i="32" s="1"/>
  <c r="AW36" i="32"/>
  <c r="AJ38" i="32"/>
  <c r="AL38" i="32"/>
  <c r="AM38" i="32" s="1"/>
  <c r="AW40" i="32"/>
  <c r="AJ42" i="32"/>
  <c r="AL42" i="32"/>
  <c r="AM42" i="32" s="1"/>
  <c r="AW44" i="32"/>
  <c r="AJ46" i="32"/>
  <c r="AL46" i="32"/>
  <c r="AM46" i="32" s="1"/>
  <c r="AW48" i="32"/>
  <c r="BD50" i="32"/>
  <c r="K17" i="51"/>
  <c r="K25" i="51"/>
  <c r="C26" i="51"/>
  <c r="C29" i="51"/>
  <c r="C37" i="51"/>
  <c r="G14" i="51"/>
  <c r="K28" i="51"/>
  <c r="K46" i="51"/>
  <c r="C93" i="51"/>
  <c r="C173" i="51"/>
  <c r="C189" i="51"/>
  <c r="C221" i="51"/>
  <c r="C237" i="51"/>
  <c r="C285" i="51"/>
  <c r="C365" i="51"/>
  <c r="C429" i="51"/>
  <c r="C461" i="51"/>
  <c r="C525" i="51"/>
  <c r="C557" i="51"/>
  <c r="C621" i="51"/>
  <c r="C653" i="51"/>
  <c r="K60" i="51"/>
  <c r="K61" i="51"/>
  <c r="AE15" i="42"/>
  <c r="AG15" i="42"/>
  <c r="AH15" i="42"/>
  <c r="AJ55" i="32"/>
  <c r="AL55" i="32"/>
  <c r="AM55" i="32" s="1"/>
  <c r="K56" i="51"/>
  <c r="K57" i="51"/>
  <c r="K8" i="42"/>
  <c r="AG9" i="42"/>
  <c r="BI10" i="42"/>
  <c r="BP10" i="42"/>
  <c r="AQ11" i="42"/>
  <c r="BC11" i="42"/>
  <c r="AG11" i="42"/>
  <c r="AH11" i="42"/>
  <c r="BI16" i="42"/>
  <c r="BP16" i="42"/>
  <c r="BS16" i="42"/>
  <c r="BT16" i="42" s="1"/>
  <c r="AW18" i="42"/>
  <c r="AY18" i="42"/>
  <c r="AZ18" i="42" s="1"/>
  <c r="AE22" i="42"/>
  <c r="AE26" i="42"/>
  <c r="BI28" i="42"/>
  <c r="BI27" i="42"/>
  <c r="AE10" i="42"/>
  <c r="BC10" i="42"/>
  <c r="AW10" i="42"/>
  <c r="AY10" i="42" s="1"/>
  <c r="AZ10" i="42" s="1"/>
  <c r="BI11" i="42"/>
  <c r="AG13" i="42"/>
  <c r="AH13" i="42"/>
  <c r="AG14" i="42"/>
  <c r="BI14" i="42"/>
  <c r="AE19" i="42"/>
  <c r="AE27" i="42"/>
  <c r="BC7" i="42"/>
  <c r="AE9" i="42"/>
  <c r="BC9" i="42"/>
  <c r="BC12" i="42"/>
  <c r="AW12" i="42"/>
  <c r="AY12" i="42" s="1"/>
  <c r="AZ12" i="42" s="1"/>
  <c r="BI13" i="42"/>
  <c r="BC16" i="42"/>
  <c r="AW16" i="42"/>
  <c r="AY16" i="42"/>
  <c r="AZ16" i="42" s="1"/>
  <c r="AE20" i="42"/>
  <c r="BS25" i="42"/>
  <c r="BT25" i="42" s="1"/>
  <c r="AE36" i="42"/>
  <c r="K10" i="42"/>
  <c r="BP6" i="42"/>
  <c r="BP8" i="42"/>
  <c r="BI15" i="42"/>
  <c r="AE17" i="42"/>
  <c r="BI17" i="42"/>
  <c r="BI18" i="42"/>
  <c r="AH19" i="42"/>
  <c r="AG19" i="42"/>
  <c r="BC19" i="42"/>
  <c r="BS19" i="42"/>
  <c r="BT19" i="42" s="1"/>
  <c r="AH21" i="42"/>
  <c r="AG21" i="42"/>
  <c r="BC21" i="42"/>
  <c r="BS21" i="42"/>
  <c r="BT21" i="42"/>
  <c r="AH23" i="42"/>
  <c r="AG23" i="42"/>
  <c r="BC23" i="42"/>
  <c r="BS23" i="42"/>
  <c r="BT23" i="42" s="1"/>
  <c r="AH25" i="42"/>
  <c r="AG25" i="42"/>
  <c r="BC25" i="42"/>
  <c r="AH27" i="42"/>
  <c r="AG27" i="42"/>
  <c r="BC27" i="42"/>
  <c r="AE29" i="42"/>
  <c r="AE30" i="42"/>
  <c r="AE33" i="42"/>
  <c r="BP33" i="42"/>
  <c r="K5" i="42"/>
  <c r="AW5" i="42"/>
  <c r="AY5" i="42"/>
  <c r="AZ5" i="42" s="1"/>
  <c r="K7" i="42"/>
  <c r="AW7" i="42"/>
  <c r="AY7" i="42"/>
  <c r="AZ7" i="42" s="1"/>
  <c r="K9" i="42"/>
  <c r="AW9" i="42"/>
  <c r="AY9" i="42"/>
  <c r="AZ9" i="42" s="1"/>
  <c r="BS14" i="42"/>
  <c r="BT14" i="42" s="1"/>
  <c r="AW15" i="42"/>
  <c r="AY15" i="42" s="1"/>
  <c r="AZ15" i="42"/>
  <c r="AH17" i="42"/>
  <c r="AG17" i="42"/>
  <c r="BC17" i="42"/>
  <c r="EF18" i="42"/>
  <c r="AW20" i="42"/>
  <c r="AY20" i="42" s="1"/>
  <c r="AZ20" i="42" s="1"/>
  <c r="BC22" i="42"/>
  <c r="AW22" i="42"/>
  <c r="AY22" i="42" s="1"/>
  <c r="AZ22" i="42" s="1"/>
  <c r="BC24" i="42"/>
  <c r="AW24" i="42"/>
  <c r="AY24" i="42" s="1"/>
  <c r="AZ24" i="42" s="1"/>
  <c r="AW26" i="42"/>
  <c r="AY26" i="42" s="1"/>
  <c r="AZ26" i="42" s="1"/>
  <c r="S19" i="42"/>
  <c r="S17" i="42"/>
  <c r="AH31" i="42"/>
  <c r="AG31" i="42"/>
  <c r="BC36" i="42"/>
  <c r="M37" i="42"/>
  <c r="M41" i="42"/>
  <c r="AE41" i="42"/>
  <c r="M45" i="42"/>
  <c r="N49" i="42"/>
  <c r="BC52" i="42"/>
  <c r="AW52" i="42"/>
  <c r="AY52" i="42" s="1"/>
  <c r="AZ52" i="42" s="1"/>
  <c r="S31" i="42"/>
  <c r="L18" i="42"/>
  <c r="L20" i="42"/>
  <c r="L22" i="42"/>
  <c r="L24" i="42"/>
  <c r="L26" i="42"/>
  <c r="S29" i="42"/>
  <c r="S30" i="42"/>
  <c r="BI30" i="42"/>
  <c r="S32" i="42"/>
  <c r="BI32" i="42"/>
  <c r="M36" i="42"/>
  <c r="AW36" i="42"/>
  <c r="AY36" i="42"/>
  <c r="AZ36" i="42" s="1"/>
  <c r="M40" i="42"/>
  <c r="AW40" i="42"/>
  <c r="AY40" i="42"/>
  <c r="AZ40" i="42" s="1"/>
  <c r="M44" i="42"/>
  <c r="AW44" i="42"/>
  <c r="AY44" i="42"/>
  <c r="AZ44" i="42" s="1"/>
  <c r="N56" i="42"/>
  <c r="N57" i="42"/>
  <c r="N54" i="42"/>
  <c r="N53" i="42"/>
  <c r="N52" i="42"/>
  <c r="N51" i="42"/>
  <c r="N50" i="42"/>
  <c r="N48" i="42"/>
  <c r="AW48" i="42"/>
  <c r="AY48" i="42" s="1"/>
  <c r="AZ48" i="42"/>
  <c r="BC49" i="42"/>
  <c r="AW49" i="42"/>
  <c r="AY49" i="42" s="1"/>
  <c r="AZ49" i="42" s="1"/>
  <c r="AE51" i="42"/>
  <c r="BP51" i="42"/>
  <c r="BC53" i="42"/>
  <c r="AW53" i="42"/>
  <c r="AY53" i="42" s="1"/>
  <c r="AZ53" i="42" s="1"/>
  <c r="L31" i="42"/>
  <c r="L29" i="42"/>
  <c r="BP18" i="42"/>
  <c r="S21" i="42"/>
  <c r="BP22" i="42"/>
  <c r="BP24" i="42"/>
  <c r="S25" i="42"/>
  <c r="BP26" i="42"/>
  <c r="S27" i="42"/>
  <c r="L30" i="42"/>
  <c r="L32" i="42"/>
  <c r="M33" i="42"/>
  <c r="M35" i="42"/>
  <c r="M39" i="42"/>
  <c r="M43" i="42"/>
  <c r="BC50" i="42"/>
  <c r="AW50" i="42"/>
  <c r="AY50" i="42" s="1"/>
  <c r="AZ50" i="42" s="1"/>
  <c r="AE53" i="42"/>
  <c r="BC54" i="42"/>
  <c r="AW54" i="42"/>
  <c r="AY54" i="42"/>
  <c r="AZ54" i="42" s="1"/>
  <c r="N55" i="42"/>
  <c r="AE56" i="42"/>
  <c r="BI57" i="42"/>
  <c r="BI56" i="42"/>
  <c r="L17" i="42"/>
  <c r="AW17" i="42"/>
  <c r="AY17" i="42"/>
  <c r="AZ17" i="42" s="1"/>
  <c r="L19" i="42"/>
  <c r="AW19" i="42"/>
  <c r="AY19" i="42"/>
  <c r="AZ19" i="42" s="1"/>
  <c r="L21" i="42"/>
  <c r="AW21" i="42"/>
  <c r="AY21" i="42"/>
  <c r="AZ21" i="42" s="1"/>
  <c r="L23" i="42"/>
  <c r="AW23" i="42"/>
  <c r="AY23" i="42"/>
  <c r="AZ23" i="42" s="1"/>
  <c r="L25" i="42"/>
  <c r="AW25" i="42"/>
  <c r="AY25" i="42"/>
  <c r="AZ25" i="42" s="1"/>
  <c r="L27" i="42"/>
  <c r="AW27" i="42"/>
  <c r="AY27" i="42"/>
  <c r="AZ27" i="42" s="1"/>
  <c r="BC29" i="42"/>
  <c r="AW29" i="42"/>
  <c r="AY29" i="42"/>
  <c r="AZ29" i="42" s="1"/>
  <c r="BC31" i="42"/>
  <c r="M38" i="42"/>
  <c r="M42" i="42"/>
  <c r="AE49" i="42"/>
  <c r="BC51" i="42"/>
  <c r="AW51" i="42"/>
  <c r="AY51" i="42" s="1"/>
  <c r="AZ51" i="42" s="1"/>
  <c r="AE55" i="42"/>
  <c r="AH56" i="42"/>
  <c r="AG56" i="42"/>
  <c r="AQ57" i="42"/>
  <c r="BC57" i="42"/>
  <c r="BP55" i="42"/>
  <c r="I27" i="45"/>
  <c r="BP30" i="42"/>
  <c r="BP32" i="42"/>
  <c r="BP35" i="42"/>
  <c r="BP36" i="42"/>
  <c r="BP37" i="42"/>
  <c r="BP38" i="42"/>
  <c r="BP39" i="42"/>
  <c r="BP40" i="42"/>
  <c r="BP41" i="42"/>
  <c r="BP42" i="42"/>
  <c r="BP43" i="42"/>
  <c r="BP44" i="42"/>
  <c r="BP46" i="42"/>
  <c r="BP47" i="42"/>
  <c r="BP48" i="42"/>
  <c r="BP49" i="42"/>
  <c r="BP50" i="42"/>
  <c r="BP52" i="42"/>
  <c r="BP53" i="42"/>
  <c r="BP54" i="42"/>
  <c r="AG55" i="42"/>
  <c r="S56" i="42"/>
  <c r="AW31" i="42"/>
  <c r="AY31" i="42" s="1"/>
  <c r="AZ31" i="42" s="1"/>
  <c r="AW33" i="42"/>
  <c r="AY33" i="42"/>
  <c r="AZ33" i="42" s="1"/>
  <c r="BI39" i="42"/>
  <c r="AW56" i="42"/>
  <c r="AY56" i="42"/>
  <c r="AZ56" i="42" s="1"/>
  <c r="D22" i="45"/>
  <c r="I23" i="45"/>
  <c r="D26" i="45"/>
  <c r="D25" i="45"/>
  <c r="D24" i="45"/>
  <c r="D28" i="45"/>
  <c r="J43" i="53"/>
  <c r="K43" i="53" s="1"/>
  <c r="I51" i="53"/>
  <c r="J51" i="53" s="1"/>
  <c r="I16" i="53"/>
  <c r="I40" i="53"/>
  <c r="J49" i="53"/>
  <c r="K49" i="53"/>
  <c r="I23" i="53"/>
  <c r="J24" i="53"/>
  <c r="I56" i="53"/>
  <c r="O56" i="53"/>
  <c r="P56" i="53"/>
  <c r="C54" i="88" s="1"/>
  <c r="O60" i="53"/>
  <c r="P60" i="53"/>
  <c r="C58" i="88" s="1"/>
  <c r="I60" i="53"/>
  <c r="I57" i="53"/>
  <c r="J57" i="53" s="1"/>
  <c r="K57" i="53" s="1"/>
  <c r="O57" i="53"/>
  <c r="P57" i="53"/>
  <c r="C55" i="88" s="1"/>
  <c r="I59" i="53"/>
  <c r="I58" i="53"/>
  <c r="M59" i="53"/>
  <c r="N59" i="53"/>
  <c r="O59" i="53"/>
  <c r="P59" i="53"/>
  <c r="C57" i="88" s="1"/>
  <c r="O58" i="53"/>
  <c r="P58" i="53"/>
  <c r="C56" i="88" s="1"/>
  <c r="O48" i="53"/>
  <c r="P48" i="53"/>
  <c r="C46" i="88" s="1"/>
  <c r="H44" i="58"/>
  <c r="M45" i="53"/>
  <c r="N45" i="53" s="1"/>
  <c r="M25" i="53"/>
  <c r="N25" i="53" s="1"/>
  <c r="M41" i="53"/>
  <c r="N41" i="53" s="1"/>
  <c r="M9" i="53"/>
  <c r="N9" i="53" s="1"/>
  <c r="O32" i="53"/>
  <c r="P32" i="53" s="1"/>
  <c r="C30" i="88" s="1"/>
  <c r="H39" i="58"/>
  <c r="O5" i="53"/>
  <c r="P5" i="53"/>
  <c r="O41" i="53"/>
  <c r="P41" i="53"/>
  <c r="C39" i="88" s="1"/>
  <c r="O21" i="53"/>
  <c r="P21" i="53"/>
  <c r="C19" i="88" s="1"/>
  <c r="H23" i="58"/>
  <c r="H49" i="58"/>
  <c r="O53" i="53"/>
  <c r="P53" i="53"/>
  <c r="C51" i="88" s="1"/>
  <c r="O11" i="53"/>
  <c r="P11" i="53"/>
  <c r="C9" i="88" s="1"/>
  <c r="O35" i="53"/>
  <c r="P35" i="53"/>
  <c r="C33" i="88" s="1"/>
  <c r="H46" i="58"/>
  <c r="H12" i="58"/>
  <c r="O19" i="53"/>
  <c r="P19" i="53"/>
  <c r="C17" i="88" s="1"/>
  <c r="O27" i="53"/>
  <c r="P27" i="53"/>
  <c r="C25" i="88" s="1"/>
  <c r="M23" i="53"/>
  <c r="N23" i="53"/>
  <c r="H59" i="3"/>
  <c r="M59" i="3"/>
  <c r="P59" i="3" s="1"/>
  <c r="H56" i="3"/>
  <c r="M56" i="3" s="1"/>
  <c r="P56" i="3"/>
  <c r="H52" i="3"/>
  <c r="M52" i="3"/>
  <c r="P52" i="3" s="1"/>
  <c r="H48" i="3"/>
  <c r="M48" i="3" s="1"/>
  <c r="P48" i="3" s="1"/>
  <c r="H44" i="3"/>
  <c r="M44" i="3"/>
  <c r="P44" i="3" s="1"/>
  <c r="H40" i="3"/>
  <c r="M40" i="3" s="1"/>
  <c r="P40" i="3" s="1"/>
  <c r="H36" i="3"/>
  <c r="M36" i="3"/>
  <c r="P36" i="3" s="1"/>
  <c r="H32" i="3"/>
  <c r="M32" i="3" s="1"/>
  <c r="P32" i="3" s="1"/>
  <c r="H28" i="3"/>
  <c r="M28" i="3"/>
  <c r="P28" i="3" s="1"/>
  <c r="H24" i="3"/>
  <c r="M24" i="3" s="1"/>
  <c r="P24" i="3"/>
  <c r="H20" i="3"/>
  <c r="M20" i="3"/>
  <c r="P20" i="3" s="1"/>
  <c r="H16" i="3"/>
  <c r="M16" i="3" s="1"/>
  <c r="P16" i="3" s="1"/>
  <c r="H12" i="3"/>
  <c r="M12" i="3"/>
  <c r="P12" i="3" s="1"/>
  <c r="H8" i="3"/>
  <c r="M8" i="3" s="1"/>
  <c r="P8" i="3" s="1"/>
  <c r="H60" i="3"/>
  <c r="M60" i="3"/>
  <c r="P60" i="3" s="1"/>
  <c r="H57" i="3"/>
  <c r="M57" i="3" s="1"/>
  <c r="P57" i="3" s="1"/>
  <c r="H49" i="3"/>
  <c r="M49" i="3"/>
  <c r="P49" i="3" s="1"/>
  <c r="H41" i="3"/>
  <c r="M41" i="3" s="1"/>
  <c r="P41" i="3"/>
  <c r="H37" i="3"/>
  <c r="M37" i="3"/>
  <c r="P37" i="3" s="1"/>
  <c r="H29" i="3"/>
  <c r="M29" i="3" s="1"/>
  <c r="P29" i="3" s="1"/>
  <c r="H21" i="3"/>
  <c r="M21" i="3"/>
  <c r="P21" i="3" s="1"/>
  <c r="H17" i="3"/>
  <c r="M17" i="3" s="1"/>
  <c r="P17" i="3" s="1"/>
  <c r="H9" i="3"/>
  <c r="M9" i="3"/>
  <c r="P9" i="3" s="1"/>
  <c r="H55" i="3"/>
  <c r="M55" i="3" s="1"/>
  <c r="P55" i="3" s="1"/>
  <c r="H51" i="3"/>
  <c r="M51" i="3"/>
  <c r="P51" i="3" s="1"/>
  <c r="H47" i="3"/>
  <c r="M47" i="3" s="1"/>
  <c r="P47" i="3"/>
  <c r="H43" i="3"/>
  <c r="M43" i="3"/>
  <c r="P43" i="3" s="1"/>
  <c r="H39" i="3"/>
  <c r="M39" i="3" s="1"/>
  <c r="P39" i="3" s="1"/>
  <c r="H35" i="3"/>
  <c r="M35" i="3"/>
  <c r="P35" i="3" s="1"/>
  <c r="H31" i="3"/>
  <c r="M31" i="3" s="1"/>
  <c r="P31" i="3" s="1"/>
  <c r="H27" i="3"/>
  <c r="M27" i="3"/>
  <c r="P27" i="3" s="1"/>
  <c r="H23" i="3"/>
  <c r="M23" i="3" s="1"/>
  <c r="P23" i="3" s="1"/>
  <c r="H19" i="3"/>
  <c r="M19" i="3"/>
  <c r="P19" i="3" s="1"/>
  <c r="H15" i="3"/>
  <c r="M15" i="3" s="1"/>
  <c r="P15" i="3"/>
  <c r="H11" i="3"/>
  <c r="M11" i="3"/>
  <c r="P11" i="3" s="1"/>
  <c r="M7" i="3"/>
  <c r="P7" i="3" s="1"/>
  <c r="H53" i="3"/>
  <c r="M53" i="3" s="1"/>
  <c r="P53" i="3" s="1"/>
  <c r="H45" i="3"/>
  <c r="M45" i="3"/>
  <c r="P45" i="3" s="1"/>
  <c r="H33" i="3"/>
  <c r="M33" i="3" s="1"/>
  <c r="P33" i="3" s="1"/>
  <c r="H25" i="3"/>
  <c r="M25" i="3"/>
  <c r="P25" i="3" s="1"/>
  <c r="H13" i="3"/>
  <c r="M13" i="3" s="1"/>
  <c r="P13" i="3"/>
  <c r="H58" i="3"/>
  <c r="M58" i="3"/>
  <c r="P58" i="3" s="1"/>
  <c r="H54" i="3"/>
  <c r="M54" i="3" s="1"/>
  <c r="P54" i="3" s="1"/>
  <c r="H50" i="3"/>
  <c r="M50" i="3"/>
  <c r="P50" i="3" s="1"/>
  <c r="H46" i="3"/>
  <c r="M46" i="3" s="1"/>
  <c r="P46" i="3" s="1"/>
  <c r="H42" i="3"/>
  <c r="M42" i="3"/>
  <c r="P42" i="3" s="1"/>
  <c r="H38" i="3"/>
  <c r="M38" i="3" s="1"/>
  <c r="P38" i="3" s="1"/>
  <c r="H34" i="3"/>
  <c r="M34" i="3"/>
  <c r="P34" i="3" s="1"/>
  <c r="H30" i="3"/>
  <c r="M30" i="3" s="1"/>
  <c r="P30" i="3"/>
  <c r="H26" i="3"/>
  <c r="M26" i="3"/>
  <c r="P26" i="3" s="1"/>
  <c r="H22" i="3"/>
  <c r="M22" i="3" s="1"/>
  <c r="P22" i="3"/>
  <c r="H18" i="3"/>
  <c r="M18" i="3"/>
  <c r="P18" i="3" s="1"/>
  <c r="H14" i="3"/>
  <c r="M14" i="3" s="1"/>
  <c r="P14" i="3"/>
  <c r="H10" i="3"/>
  <c r="M10" i="3"/>
  <c r="P10" i="3" s="1"/>
  <c r="H13" i="58"/>
  <c r="M55" i="53"/>
  <c r="N55" i="53"/>
  <c r="O17" i="53"/>
  <c r="P17" i="53"/>
  <c r="C15" i="88" s="1"/>
  <c r="H47" i="58"/>
  <c r="I55" i="53"/>
  <c r="I54" i="53"/>
  <c r="J55" i="53"/>
  <c r="K55" i="53" s="1"/>
  <c r="H17" i="58"/>
  <c r="O49" i="53"/>
  <c r="P49" i="53"/>
  <c r="C47" i="88" s="1"/>
  <c r="M17" i="53"/>
  <c r="N17" i="53"/>
  <c r="O9" i="53"/>
  <c r="P9" i="53"/>
  <c r="C7" i="88" s="1"/>
  <c r="B9" i="58"/>
  <c r="H41" i="58"/>
  <c r="M27" i="53"/>
  <c r="N27" i="53"/>
  <c r="O42" i="53"/>
  <c r="P42" i="53"/>
  <c r="C40" i="88" s="1"/>
  <c r="O46" i="53"/>
  <c r="P46" i="53"/>
  <c r="C44" i="88" s="1"/>
  <c r="H36" i="58"/>
  <c r="H19" i="58"/>
  <c r="H33" i="58"/>
  <c r="H42" i="58"/>
  <c r="O8" i="53"/>
  <c r="P8" i="53"/>
  <c r="C6" i="88" s="1"/>
  <c r="M19" i="53"/>
  <c r="N19" i="53"/>
  <c r="H21" i="58"/>
  <c r="O28" i="53"/>
  <c r="P28" i="53" s="1"/>
  <c r="C26" i="88" s="1"/>
  <c r="O36" i="53"/>
  <c r="P36" i="53" s="1"/>
  <c r="C34" i="88" s="1"/>
  <c r="H14" i="58"/>
  <c r="H24" i="58"/>
  <c r="H54" i="58"/>
  <c r="B22" i="58"/>
  <c r="H16" i="58"/>
  <c r="H51" i="58"/>
  <c r="H11" i="58"/>
  <c r="H40" i="58"/>
  <c r="B58" i="58"/>
  <c r="H7" i="58"/>
  <c r="M11" i="53"/>
  <c r="N11" i="53" s="1"/>
  <c r="H28" i="58"/>
  <c r="H34" i="58"/>
  <c r="H43" i="58"/>
  <c r="B38" i="58"/>
  <c r="M49" i="53"/>
  <c r="N49" i="53" s="1"/>
  <c r="O15" i="53"/>
  <c r="P15" i="53" s="1"/>
  <c r="C13" i="88" s="1"/>
  <c r="O25" i="53"/>
  <c r="P25" i="53" s="1"/>
  <c r="C23" i="88" s="1"/>
  <c r="H50" i="58"/>
  <c r="O31" i="53"/>
  <c r="P31" i="53"/>
  <c r="C29" i="88" s="1"/>
  <c r="O52" i="53"/>
  <c r="P52" i="53"/>
  <c r="C50" i="88" s="1"/>
  <c r="O22" i="53"/>
  <c r="P22" i="53"/>
  <c r="C20" i="88" s="1"/>
  <c r="H31" i="58"/>
  <c r="H52" i="58"/>
  <c r="B43" i="58"/>
  <c r="B53" i="58"/>
  <c r="B32" i="58"/>
  <c r="C32" i="58"/>
  <c r="B25" i="58"/>
  <c r="C25" i="58"/>
  <c r="N9" i="58" s="1"/>
  <c r="B57" i="58"/>
  <c r="H53" i="58"/>
  <c r="M57" i="53"/>
  <c r="N57" i="53"/>
  <c r="H35" i="58"/>
  <c r="M37" i="53"/>
  <c r="N37" i="53" s="1"/>
  <c r="M35" i="53"/>
  <c r="N35" i="53" s="1"/>
  <c r="M53" i="53"/>
  <c r="N53" i="53" s="1"/>
  <c r="O45" i="53"/>
  <c r="P45" i="53" s="1"/>
  <c r="C43" i="88" s="1"/>
  <c r="O43" i="53"/>
  <c r="P43" i="53" s="1"/>
  <c r="C41" i="88" s="1"/>
  <c r="H18" i="58"/>
  <c r="H22" i="58"/>
  <c r="H37" i="58"/>
  <c r="O38" i="53"/>
  <c r="P38" i="53"/>
  <c r="C36" i="88" s="1"/>
  <c r="H48" i="58"/>
  <c r="O50" i="53"/>
  <c r="P50" i="53" s="1"/>
  <c r="C48" i="88" s="1"/>
  <c r="O37" i="53"/>
  <c r="P37" i="53" s="1"/>
  <c r="C35" i="88" s="1"/>
  <c r="H15" i="58"/>
  <c r="M21" i="53"/>
  <c r="N21" i="53"/>
  <c r="M43" i="53"/>
  <c r="N43" i="53"/>
  <c r="O6" i="53"/>
  <c r="P6" i="53"/>
  <c r="C4" i="88" s="1"/>
  <c r="O13" i="53"/>
  <c r="P13" i="53"/>
  <c r="C11" i="88" s="1"/>
  <c r="B42" i="58"/>
  <c r="B37" i="58"/>
  <c r="M13" i="53"/>
  <c r="N13" i="53"/>
  <c r="M5" i="53"/>
  <c r="N5" i="53"/>
  <c r="L5" i="53" s="1"/>
  <c r="O24" i="53"/>
  <c r="P24" i="53"/>
  <c r="C22" i="88" s="1"/>
  <c r="H45" i="58"/>
  <c r="H55" i="58"/>
  <c r="H56" i="58"/>
  <c r="I18" i="53"/>
  <c r="O18" i="53"/>
  <c r="P18" i="53"/>
  <c r="C16" i="88" s="1"/>
  <c r="M39" i="53"/>
  <c r="N39" i="53"/>
  <c r="B6" i="58"/>
  <c r="I30" i="53"/>
  <c r="I29" i="53"/>
  <c r="J30" i="53"/>
  <c r="O30" i="53"/>
  <c r="P30" i="53" s="1"/>
  <c r="C28" i="88" s="1"/>
  <c r="I12" i="53"/>
  <c r="J12" i="53" s="1"/>
  <c r="O12" i="53"/>
  <c r="P12" i="53"/>
  <c r="C10" i="88" s="1"/>
  <c r="I26" i="53"/>
  <c r="J26" i="53"/>
  <c r="O26" i="53"/>
  <c r="P26" i="53" s="1"/>
  <c r="C24" i="88" s="1"/>
  <c r="J23" i="53"/>
  <c r="K23" i="53" s="1"/>
  <c r="O23" i="53"/>
  <c r="P23" i="53" s="1"/>
  <c r="C21" i="88" s="1"/>
  <c r="I33" i="53"/>
  <c r="J33" i="53" s="1"/>
  <c r="K33" i="53" s="1"/>
  <c r="M33" i="53"/>
  <c r="N33" i="53"/>
  <c r="O33" i="53"/>
  <c r="P33" i="53"/>
  <c r="C31" i="88" s="1"/>
  <c r="I20" i="53"/>
  <c r="J20" i="53"/>
  <c r="O20" i="53"/>
  <c r="P20" i="53" s="1"/>
  <c r="C18" i="88" s="1"/>
  <c r="M31" i="53"/>
  <c r="N31" i="53" s="1"/>
  <c r="I10" i="53"/>
  <c r="O10" i="53"/>
  <c r="P10" i="53"/>
  <c r="C8" i="88" s="1"/>
  <c r="B36" i="58"/>
  <c r="B28" i="58"/>
  <c r="H30" i="58"/>
  <c r="H29" i="58"/>
  <c r="B46" i="58"/>
  <c r="M51" i="53"/>
  <c r="N51" i="53" s="1"/>
  <c r="O51" i="53"/>
  <c r="P51" i="53" s="1"/>
  <c r="C49" i="88" s="1"/>
  <c r="I14" i="53"/>
  <c r="O14" i="53"/>
  <c r="P14" i="53"/>
  <c r="C12" i="88" s="1"/>
  <c r="O29" i="53"/>
  <c r="P29" i="53"/>
  <c r="C27" i="88" s="1"/>
  <c r="M29" i="53"/>
  <c r="N29" i="53"/>
  <c r="H20" i="58"/>
  <c r="H25" i="58"/>
  <c r="J16" i="53"/>
  <c r="O16" i="53"/>
  <c r="P16" i="53"/>
  <c r="C14" i="88" s="1"/>
  <c r="I7" i="53"/>
  <c r="J7" i="53"/>
  <c r="K7" i="53" s="1"/>
  <c r="M7" i="53"/>
  <c r="N7" i="53" s="1"/>
  <c r="I34" i="53"/>
  <c r="O34" i="53"/>
  <c r="P34" i="53"/>
  <c r="C32" i="88" s="1"/>
  <c r="M15" i="53"/>
  <c r="N15" i="53"/>
  <c r="H8" i="58"/>
  <c r="H38" i="58"/>
  <c r="B39" i="58"/>
  <c r="B50" i="58"/>
  <c r="C50" i="58" s="1"/>
  <c r="H32" i="58"/>
  <c r="E20" i="58"/>
  <c r="E8" i="58"/>
  <c r="E54" i="58"/>
  <c r="E42" i="58"/>
  <c r="E31" i="58"/>
  <c r="E58" i="58"/>
  <c r="E23" i="58"/>
  <c r="E15" i="58"/>
  <c r="E57" i="58"/>
  <c r="E38" i="58"/>
  <c r="E18" i="58"/>
  <c r="E50" i="58"/>
  <c r="E22" i="58"/>
  <c r="C22" i="58" s="1"/>
  <c r="E30" i="58"/>
  <c r="E49" i="58"/>
  <c r="E11" i="58"/>
  <c r="E53" i="58"/>
  <c r="C53" i="58" s="1"/>
  <c r="E29" i="58"/>
  <c r="E13" i="58"/>
  <c r="E47" i="58"/>
  <c r="E9" i="58"/>
  <c r="E52" i="58"/>
  <c r="E28" i="58"/>
  <c r="C28" i="58" s="1"/>
  <c r="E17" i="58"/>
  <c r="E36" i="58"/>
  <c r="E37" i="58"/>
  <c r="E33" i="58"/>
  <c r="O11" i="58" s="1"/>
  <c r="E6" i="58"/>
  <c r="E10" i="58"/>
  <c r="E46" i="58"/>
  <c r="E39" i="58"/>
  <c r="C39" i="58" s="1"/>
  <c r="E48" i="58"/>
  <c r="E35" i="58"/>
  <c r="E51" i="58"/>
  <c r="E27" i="58"/>
  <c r="C27" i="58" s="1"/>
  <c r="E24" i="58"/>
  <c r="E56" i="58"/>
  <c r="E40" i="58"/>
  <c r="E43" i="58"/>
  <c r="E19" i="58"/>
  <c r="E7" i="58"/>
  <c r="F5" i="47"/>
  <c r="H5" i="47"/>
  <c r="C5" i="84" s="1"/>
  <c r="F6" i="47"/>
  <c r="H6" i="47"/>
  <c r="C6" i="84" s="1"/>
  <c r="D7" i="47"/>
  <c r="D8" i="47"/>
  <c r="F8" i="47" s="1"/>
  <c r="Q14" i="51"/>
  <c r="C238" i="51"/>
  <c r="M33" i="51"/>
  <c r="P33" i="51" s="1"/>
  <c r="C669" i="51"/>
  <c r="I47" i="53"/>
  <c r="M47" i="53"/>
  <c r="N47" i="53"/>
  <c r="AP68" i="32"/>
  <c r="AB68" i="32"/>
  <c r="AC68" i="32" s="1"/>
  <c r="AW78" i="32"/>
  <c r="P30" i="32"/>
  <c r="AB51" i="32"/>
  <c r="AC51" i="32" s="1"/>
  <c r="G37" i="51"/>
  <c r="BC15" i="42"/>
  <c r="P66" i="32"/>
  <c r="AP47" i="32"/>
  <c r="AP28" i="32"/>
  <c r="I44" i="53"/>
  <c r="J44" i="53"/>
  <c r="O44" i="53"/>
  <c r="P44" i="53" s="1"/>
  <c r="C42" i="88" s="1"/>
  <c r="N39" i="32"/>
  <c r="O39" i="32" s="1"/>
  <c r="P39" i="32" s="1"/>
  <c r="BG40" i="32"/>
  <c r="BH40" i="32" s="1"/>
  <c r="H27" i="58"/>
  <c r="H26" i="58"/>
  <c r="BG50" i="32"/>
  <c r="BH50" i="32" s="1"/>
  <c r="N49" i="32"/>
  <c r="O49" i="32" s="1"/>
  <c r="P49" i="32" s="1"/>
  <c r="AW65" i="32"/>
  <c r="H9" i="58"/>
  <c r="AW77" i="32"/>
  <c r="AW66" i="32"/>
  <c r="H10" i="58"/>
  <c r="O40" i="53"/>
  <c r="P40" i="53"/>
  <c r="C38" i="88" s="1"/>
  <c r="K51" i="53"/>
  <c r="J24" i="28"/>
  <c r="J25" i="28"/>
  <c r="P28" i="32"/>
  <c r="BD41" i="32"/>
  <c r="AW41" i="32"/>
  <c r="AP66" i="32"/>
  <c r="AB66" i="32"/>
  <c r="AC66" i="32"/>
  <c r="P71" i="32"/>
  <c r="BR4" i="42"/>
  <c r="BS4" i="42" s="1"/>
  <c r="BT4" i="42"/>
  <c r="BP4" i="42"/>
  <c r="AC5" i="42"/>
  <c r="AD5" i="42" s="1"/>
  <c r="AE5" i="42"/>
  <c r="BS5" i="42"/>
  <c r="BT5" i="42"/>
  <c r="AQ55" i="42"/>
  <c r="J13" i="28"/>
  <c r="K35" i="28"/>
  <c r="J39" i="28"/>
  <c r="P47" i="32"/>
  <c r="AP60" i="32"/>
  <c r="AB60" i="32"/>
  <c r="AC60" i="32"/>
  <c r="K10" i="28"/>
  <c r="K9" i="28"/>
  <c r="AP58" i="32"/>
  <c r="AB58" i="32"/>
  <c r="AC58" i="32" s="1"/>
  <c r="AB79" i="32"/>
  <c r="AC79" i="32" s="1"/>
  <c r="AP79" i="32"/>
  <c r="AW39" i="42"/>
  <c r="AY39" i="42"/>
  <c r="AZ39" i="42" s="1"/>
  <c r="BC39" i="42"/>
  <c r="J6" i="28"/>
  <c r="L12" i="28"/>
  <c r="K32" i="28"/>
  <c r="K33" i="28"/>
  <c r="BG28" i="32"/>
  <c r="BH28" i="32"/>
  <c r="AB39" i="32"/>
  <c r="AC39" i="32"/>
  <c r="AP39" i="32"/>
  <c r="BG53" i="32"/>
  <c r="BH53" i="32" s="1"/>
  <c r="BF54" i="32"/>
  <c r="BG54" i="32" s="1"/>
  <c r="BH54" i="32"/>
  <c r="BG64" i="32"/>
  <c r="BH64" i="32"/>
  <c r="BG72" i="32"/>
  <c r="BH72" i="32"/>
  <c r="AJ76" i="32"/>
  <c r="AL76" i="32"/>
  <c r="AM76" i="32" s="1"/>
  <c r="AJ78" i="32"/>
  <c r="AL78" i="32"/>
  <c r="AM78" i="32" s="1"/>
  <c r="AP78" i="32"/>
  <c r="AP81" i="32"/>
  <c r="AB81" i="32"/>
  <c r="AC81" i="32" s="1"/>
  <c r="BI7" i="42"/>
  <c r="BP7" i="42"/>
  <c r="S18" i="42"/>
  <c r="BC37" i="42"/>
  <c r="G26" i="45"/>
  <c r="I26" i="45"/>
  <c r="J9" i="28"/>
  <c r="J8" i="28"/>
  <c r="J14" i="28"/>
  <c r="K19" i="28"/>
  <c r="J31" i="28"/>
  <c r="J43" i="28"/>
  <c r="J51" i="28"/>
  <c r="BD28" i="32"/>
  <c r="AW33" i="32"/>
  <c r="BG41" i="32"/>
  <c r="BH41" i="32"/>
  <c r="BD42" i="32"/>
  <c r="BD44" i="32"/>
  <c r="BD48" i="32"/>
  <c r="AW50" i="32"/>
  <c r="AW49" i="32"/>
  <c r="BG70" i="32"/>
  <c r="BH70" i="32" s="1"/>
  <c r="BC35" i="42"/>
  <c r="AQ35" i="42"/>
  <c r="AE40" i="42"/>
  <c r="AC45" i="42"/>
  <c r="AD45" i="42"/>
  <c r="AE45" i="42" s="1"/>
  <c r="BS45" i="42"/>
  <c r="BT45" i="42" s="1"/>
  <c r="BC48" i="42"/>
  <c r="AQ48" i="42"/>
  <c r="BC58" i="42"/>
  <c r="AQ58" i="42"/>
  <c r="L58" i="28"/>
  <c r="L57" i="28"/>
  <c r="BD30" i="32"/>
  <c r="BF33" i="32"/>
  <c r="BG33" i="32"/>
  <c r="BH33" i="32" s="1"/>
  <c r="BD38" i="32"/>
  <c r="P43" i="32"/>
  <c r="BF45" i="32"/>
  <c r="BG45" i="32" s="1"/>
  <c r="BH45" i="32"/>
  <c r="BD46" i="32"/>
  <c r="AW45" i="32"/>
  <c r="AB64" i="32"/>
  <c r="AC64" i="32"/>
  <c r="AB72" i="32"/>
  <c r="AC72" i="32"/>
  <c r="G29" i="45"/>
  <c r="I29" i="45"/>
  <c r="K27" i="51"/>
  <c r="BS8" i="42"/>
  <c r="BT8" i="42"/>
  <c r="BC34" i="42"/>
  <c r="AE34" i="42"/>
  <c r="EG18" i="42"/>
  <c r="BI38" i="42"/>
  <c r="AH39" i="42"/>
  <c r="AG39" i="42"/>
  <c r="AQ47" i="42"/>
  <c r="BC47" i="42"/>
  <c r="AE48" i="42"/>
  <c r="AE47" i="42"/>
  <c r="BS51" i="42"/>
  <c r="BT51" i="42"/>
  <c r="BS54" i="42"/>
  <c r="BT54" i="42"/>
  <c r="S54" i="42"/>
  <c r="S50" i="42"/>
  <c r="BC59" i="42"/>
  <c r="AQ59" i="42"/>
  <c r="AH20" i="42"/>
  <c r="AG20" i="42"/>
  <c r="AE21" i="42"/>
  <c r="BI24" i="42"/>
  <c r="BI23" i="42"/>
  <c r="BP23" i="42"/>
  <c r="S23" i="42"/>
  <c r="BS34" i="42"/>
  <c r="BT34" i="42" s="1"/>
  <c r="M46" i="42"/>
  <c r="AH36" i="42"/>
  <c r="AG36" i="42"/>
  <c r="BS36" i="42"/>
  <c r="BT36" i="42"/>
  <c r="BC38" i="42"/>
  <c r="AH43" i="42"/>
  <c r="AG43" i="42"/>
  <c r="BC45" i="42"/>
  <c r="S42" i="42"/>
  <c r="S33" i="42"/>
  <c r="S41" i="42"/>
  <c r="BI46" i="42"/>
  <c r="BI48" i="42"/>
  <c r="S52" i="42"/>
  <c r="AH53" i="42"/>
  <c r="AG53" i="42"/>
  <c r="AE52" i="42"/>
  <c r="BS56" i="42"/>
  <c r="BT56" i="42" s="1"/>
  <c r="E25" i="45"/>
  <c r="D27" i="45"/>
  <c r="D29" i="45"/>
  <c r="G28" i="45"/>
  <c r="E34" i="58"/>
  <c r="E26" i="58"/>
  <c r="AW29" i="32"/>
  <c r="AW37" i="32"/>
  <c r="BD76" i="32"/>
  <c r="K33" i="51"/>
  <c r="K49" i="51"/>
  <c r="C688" i="51"/>
  <c r="C560" i="51"/>
  <c r="C432" i="51"/>
  <c r="C304" i="51"/>
  <c r="C174" i="51"/>
  <c r="C110" i="51"/>
  <c r="G21" i="51"/>
  <c r="C50" i="51"/>
  <c r="G16" i="51"/>
  <c r="Q16" i="51" s="1"/>
  <c r="C656" i="51"/>
  <c r="G66" i="51"/>
  <c r="C528" i="51"/>
  <c r="G55" i="51"/>
  <c r="M55" i="51" s="1"/>
  <c r="C400" i="51"/>
  <c r="G45" i="51"/>
  <c r="Q45" i="51" s="1"/>
  <c r="C286" i="51"/>
  <c r="G35" i="51"/>
  <c r="C222" i="51"/>
  <c r="G30" i="51"/>
  <c r="C158" i="51"/>
  <c r="G25" i="51"/>
  <c r="M25" i="51" s="1"/>
  <c r="P25" i="51" s="1"/>
  <c r="C94" i="51"/>
  <c r="G19" i="51"/>
  <c r="Q19" i="51" s="1"/>
  <c r="C21" i="51"/>
  <c r="AG4" i="42"/>
  <c r="AH4" i="42"/>
  <c r="BP9" i="42"/>
  <c r="BP11" i="42"/>
  <c r="BR11" i="42"/>
  <c r="BS11" i="42" s="1"/>
  <c r="BT11" i="42"/>
  <c r="BP15" i="42"/>
  <c r="BP17" i="42"/>
  <c r="S22" i="42"/>
  <c r="S24" i="42"/>
  <c r="BP27" i="42"/>
  <c r="S28" i="42"/>
  <c r="BR28" i="42"/>
  <c r="BS28" i="42" s="1"/>
  <c r="BT28" i="42"/>
  <c r="BP29" i="42"/>
  <c r="M34" i="42"/>
  <c r="S39" i="42"/>
  <c r="BC42" i="42"/>
  <c r="BC43" i="42"/>
  <c r="S55" i="42"/>
  <c r="EH18" i="42"/>
  <c r="S48" i="42"/>
  <c r="AH50" i="42"/>
  <c r="AG50" i="42"/>
  <c r="BR52" i="42"/>
  <c r="BS52" i="42"/>
  <c r="BT52" i="42" s="1"/>
  <c r="AH54" i="42"/>
  <c r="AG54" i="42"/>
  <c r="I25" i="45"/>
  <c r="J25" i="45" s="1"/>
  <c r="E44" i="58"/>
  <c r="C44" i="58" s="1"/>
  <c r="E12" i="58"/>
  <c r="F7" i="47"/>
  <c r="H7" i="47" s="1"/>
  <c r="C7" i="84" s="1"/>
  <c r="G22" i="45"/>
  <c r="H23" i="45"/>
  <c r="F25" i="45"/>
  <c r="E27" i="45"/>
  <c r="J27" i="45" s="1"/>
  <c r="J60" i="53"/>
  <c r="J27" i="53"/>
  <c r="K27" i="53"/>
  <c r="B56" i="58"/>
  <c r="C56" i="58"/>
  <c r="B27" i="58"/>
  <c r="C57" i="58"/>
  <c r="C38" i="58"/>
  <c r="C9" i="58"/>
  <c r="C36" i="58"/>
  <c r="C58" i="58"/>
  <c r="C43" i="58"/>
  <c r="C46" i="58"/>
  <c r="C37" i="58"/>
  <c r="C6" i="58"/>
  <c r="B26" i="58"/>
  <c r="C26" i="58"/>
  <c r="B13" i="58"/>
  <c r="C13" i="58"/>
  <c r="B12" i="58"/>
  <c r="C12" i="58"/>
  <c r="B33" i="58"/>
  <c r="C33" i="58"/>
  <c r="O9" i="58" s="1"/>
  <c r="B31" i="58"/>
  <c r="C31" i="58"/>
  <c r="B30" i="58"/>
  <c r="C30" i="58"/>
  <c r="B24" i="58"/>
  <c r="C24" i="58"/>
  <c r="B23" i="58"/>
  <c r="C23" i="58"/>
  <c r="B35" i="58"/>
  <c r="C35" i="58"/>
  <c r="B34" i="58"/>
  <c r="C34" i="58"/>
  <c r="B8" i="58"/>
  <c r="C8" i="58"/>
  <c r="B7" i="58"/>
  <c r="C7" i="58"/>
  <c r="B29" i="58"/>
  <c r="C29" i="58"/>
  <c r="B15" i="58"/>
  <c r="C15" i="58"/>
  <c r="B14" i="58"/>
  <c r="C14" i="58"/>
  <c r="B20" i="58"/>
  <c r="C20" i="58"/>
  <c r="B21" i="58"/>
  <c r="C21" i="58"/>
  <c r="B18" i="58"/>
  <c r="C18" i="58"/>
  <c r="B19" i="58"/>
  <c r="C19" i="58"/>
  <c r="B17" i="58"/>
  <c r="C17" i="58" s="1"/>
  <c r="B16" i="58"/>
  <c r="C16" i="58" s="1"/>
  <c r="B10" i="58"/>
  <c r="B11" i="58"/>
  <c r="C11" i="58" s="1"/>
  <c r="C42" i="58"/>
  <c r="P11" i="58"/>
  <c r="P55" i="51"/>
  <c r="H31" i="45"/>
  <c r="J23" i="45"/>
  <c r="J26" i="45"/>
  <c r="B52" i="58"/>
  <c r="C52" i="58"/>
  <c r="D9" i="47"/>
  <c r="H8" i="47"/>
  <c r="C8" i="84" s="1"/>
  <c r="B49" i="58"/>
  <c r="C49" i="58"/>
  <c r="M11" i="58"/>
  <c r="N11" i="58"/>
  <c r="P40" i="32"/>
  <c r="M8" i="58"/>
  <c r="N8" i="58"/>
  <c r="M9" i="58"/>
  <c r="B55" i="58"/>
  <c r="C55" i="58"/>
  <c r="B45" i="58"/>
  <c r="C45" i="58" s="1"/>
  <c r="B47" i="58"/>
  <c r="C47" i="58" s="1"/>
  <c r="B51" i="58"/>
  <c r="C51" i="58" s="1"/>
  <c r="B41" i="58"/>
  <c r="C41" i="58"/>
  <c r="B44" i="58"/>
  <c r="B54" i="58"/>
  <c r="C54" i="58"/>
  <c r="B40" i="58"/>
  <c r="B48" i="58"/>
  <c r="C40" i="58"/>
  <c r="O8" i="58"/>
  <c r="C48" i="58"/>
  <c r="P9" i="58" s="1"/>
  <c r="P8" i="58"/>
  <c r="M26" i="51" l="1"/>
  <c r="P26" i="51" s="1"/>
  <c r="Q26" i="51"/>
  <c r="M27" i="51"/>
  <c r="P27" i="51" s="1"/>
  <c r="Q62" i="51"/>
  <c r="Q64" i="51"/>
  <c r="M64" i="51"/>
  <c r="P64" i="51" s="1"/>
  <c r="M56" i="51"/>
  <c r="P56" i="51" s="1"/>
  <c r="Q56" i="51"/>
  <c r="Z20" i="51"/>
  <c r="Q20" i="51"/>
  <c r="M20" i="51"/>
  <c r="P20" i="51" s="1"/>
  <c r="M66" i="51"/>
  <c r="P66" i="51" s="1"/>
  <c r="M37" i="51"/>
  <c r="P37" i="51" s="1"/>
  <c r="Q37" i="51"/>
  <c r="M60" i="51"/>
  <c r="P60" i="51" s="1"/>
  <c r="F58" i="53"/>
  <c r="M58" i="53" s="1"/>
  <c r="N58" i="53" s="1"/>
  <c r="E58" i="79"/>
  <c r="H58" i="78"/>
  <c r="I58" i="78" s="1"/>
  <c r="B57" i="91" s="1"/>
  <c r="F42" i="53"/>
  <c r="E42" i="79"/>
  <c r="E34" i="79"/>
  <c r="F34" i="53"/>
  <c r="M34" i="53" s="1"/>
  <c r="N34" i="53" s="1"/>
  <c r="H34" i="78"/>
  <c r="I34" i="78" s="1"/>
  <c r="B33" i="91" s="1"/>
  <c r="E18" i="79"/>
  <c r="H18" i="78"/>
  <c r="I18" i="78" s="1"/>
  <c r="B17" i="91" s="1"/>
  <c r="F18" i="53"/>
  <c r="M18" i="53" s="1"/>
  <c r="N18" i="53" s="1"/>
  <c r="E10" i="79"/>
  <c r="F10" i="53"/>
  <c r="M10" i="53" s="1"/>
  <c r="N10" i="53" s="1"/>
  <c r="H10" i="78"/>
  <c r="I10" i="78" s="1"/>
  <c r="B9" i="91" s="1"/>
  <c r="D10" i="47"/>
  <c r="F9" i="47"/>
  <c r="H9" i="47" s="1"/>
  <c r="C9" i="84" s="1"/>
  <c r="M21" i="51"/>
  <c r="P21" i="51" s="1"/>
  <c r="AP76" i="32"/>
  <c r="AB74" i="32"/>
  <c r="AC74" i="32" s="1"/>
  <c r="J48" i="53"/>
  <c r="J14" i="53"/>
  <c r="K14" i="53" s="1"/>
  <c r="J15" i="53"/>
  <c r="K15" i="53" s="1"/>
  <c r="M40" i="51"/>
  <c r="P40" i="51" s="1"/>
  <c r="Q40" i="51"/>
  <c r="G36" i="51"/>
  <c r="G58" i="51"/>
  <c r="G44" i="51"/>
  <c r="G57" i="51"/>
  <c r="G39" i="51"/>
  <c r="G43" i="51"/>
  <c r="G47" i="51"/>
  <c r="Q51" i="51"/>
  <c r="G52" i="51"/>
  <c r="G53" i="51"/>
  <c r="G61" i="51"/>
  <c r="G65" i="51"/>
  <c r="AP57" i="32"/>
  <c r="AP33" i="32"/>
  <c r="AJ31" i="32"/>
  <c r="AL31" i="32" s="1"/>
  <c r="AM31" i="32" s="1"/>
  <c r="AP31" i="32"/>
  <c r="BD36" i="32"/>
  <c r="AW35" i="32"/>
  <c r="P41" i="32"/>
  <c r="P42" i="32"/>
  <c r="AP46" i="32"/>
  <c r="AB46" i="32"/>
  <c r="AC46" i="32" s="1"/>
  <c r="P53" i="32"/>
  <c r="BF67" i="32"/>
  <c r="BG67" i="32" s="1"/>
  <c r="BH67" i="32" s="1"/>
  <c r="BD67" i="32"/>
  <c r="K35" i="51"/>
  <c r="K36" i="51"/>
  <c r="Q35" i="51"/>
  <c r="K38" i="51"/>
  <c r="K39" i="51"/>
  <c r="K55" i="51"/>
  <c r="Q54" i="51"/>
  <c r="K54" i="51"/>
  <c r="K62" i="51"/>
  <c r="K63" i="51"/>
  <c r="AE14" i="42"/>
  <c r="AQ18" i="42"/>
  <c r="BC18" i="42"/>
  <c r="AQ28" i="42"/>
  <c r="BC28" i="42"/>
  <c r="S36" i="42"/>
  <c r="S46" i="42"/>
  <c r="S45" i="42"/>
  <c r="S34" i="42"/>
  <c r="S38" i="42"/>
  <c r="S37" i="42"/>
  <c r="S44" i="42"/>
  <c r="S47" i="42"/>
  <c r="S53" i="42"/>
  <c r="S57" i="42"/>
  <c r="S51" i="42"/>
  <c r="M30" i="51"/>
  <c r="P30" i="51" s="1"/>
  <c r="Q30" i="51"/>
  <c r="Q60" i="51"/>
  <c r="J11" i="53"/>
  <c r="K11" i="53" s="1"/>
  <c r="J19" i="53"/>
  <c r="K19" i="53" s="1"/>
  <c r="J18" i="53"/>
  <c r="K18" i="53" s="1"/>
  <c r="G31" i="51"/>
  <c r="G23" i="51"/>
  <c r="M24" i="51" s="1"/>
  <c r="P24" i="51" s="1"/>
  <c r="M28" i="51"/>
  <c r="P28" i="51" s="1"/>
  <c r="Q28" i="51"/>
  <c r="G17" i="51"/>
  <c r="G41" i="51"/>
  <c r="G48" i="51"/>
  <c r="M54" i="51"/>
  <c r="P54" i="51" s="1"/>
  <c r="G67" i="51"/>
  <c r="G68" i="51"/>
  <c r="P64" i="32"/>
  <c r="L40" i="28"/>
  <c r="L39" i="28"/>
  <c r="L44" i="28"/>
  <c r="L45" i="28"/>
  <c r="J54" i="28"/>
  <c r="J53" i="28"/>
  <c r="AB42" i="32"/>
  <c r="AC42" i="32" s="1"/>
  <c r="AP42" i="32"/>
  <c r="AP55" i="32"/>
  <c r="AB55" i="32"/>
  <c r="AC55" i="32" s="1"/>
  <c r="BD60" i="32"/>
  <c r="BF60" i="32"/>
  <c r="BG60" i="32" s="1"/>
  <c r="BH60" i="32" s="1"/>
  <c r="BD64" i="32"/>
  <c r="AW64" i="32"/>
  <c r="AP70" i="32"/>
  <c r="AB70" i="32"/>
  <c r="AC70" i="32" s="1"/>
  <c r="BD77" i="32"/>
  <c r="AW76" i="32"/>
  <c r="K15" i="51"/>
  <c r="K16" i="51"/>
  <c r="Q15" i="51"/>
  <c r="K22" i="51"/>
  <c r="K21" i="51"/>
  <c r="Q21" i="51"/>
  <c r="Q25" i="51"/>
  <c r="AQ26" i="42"/>
  <c r="BC26" i="42"/>
  <c r="K44" i="53"/>
  <c r="J35" i="53"/>
  <c r="K35" i="53" s="1"/>
  <c r="J34" i="53"/>
  <c r="AB34" i="32"/>
  <c r="AC34" i="32" s="1"/>
  <c r="AP34" i="32"/>
  <c r="AB38" i="32"/>
  <c r="AC38" i="32" s="1"/>
  <c r="AP38" i="32"/>
  <c r="BD62" i="32"/>
  <c r="BF62" i="32"/>
  <c r="BG62" i="32" s="1"/>
  <c r="BH62" i="32" s="1"/>
  <c r="P79" i="32"/>
  <c r="P78" i="32"/>
  <c r="H50" i="78"/>
  <c r="I50" i="78" s="1"/>
  <c r="B49" i="91" s="1"/>
  <c r="F50" i="53"/>
  <c r="E50" i="79"/>
  <c r="E26" i="79"/>
  <c r="F26" i="53"/>
  <c r="M26" i="53" s="1"/>
  <c r="N26" i="53" s="1"/>
  <c r="H26" i="78"/>
  <c r="I26" i="78" s="1"/>
  <c r="B25" i="91" s="1"/>
  <c r="Q66" i="51"/>
  <c r="AP48" i="32"/>
  <c r="M22" i="51"/>
  <c r="P22" i="51" s="1"/>
  <c r="AE46" i="42"/>
  <c r="Q55" i="51"/>
  <c r="F31" i="45"/>
  <c r="C10" i="58"/>
  <c r="J59" i="53"/>
  <c r="K59" i="53" s="1"/>
  <c r="J58" i="53"/>
  <c r="K58" i="53" s="1"/>
  <c r="J56" i="53"/>
  <c r="D31" i="45"/>
  <c r="Q32" i="51"/>
  <c r="G38" i="51"/>
  <c r="M38" i="51" s="1"/>
  <c r="P38" i="51" s="1"/>
  <c r="G49" i="51"/>
  <c r="G50" i="51"/>
  <c r="M51" i="51" s="1"/>
  <c r="P51" i="51" s="1"/>
  <c r="G59" i="51"/>
  <c r="G46" i="51"/>
  <c r="J5" i="28"/>
  <c r="J4" i="28"/>
  <c r="L16" i="28"/>
  <c r="L15" i="28"/>
  <c r="J20" i="28"/>
  <c r="J19" i="28"/>
  <c r="K21" i="28"/>
  <c r="K20" i="28"/>
  <c r="L23" i="28"/>
  <c r="L22" i="28"/>
  <c r="J32" i="28"/>
  <c r="J33" i="28"/>
  <c r="L34" i="28"/>
  <c r="L33" i="28"/>
  <c r="L37" i="28"/>
  <c r="L38" i="28"/>
  <c r="AP29" i="32"/>
  <c r="AB29" i="32"/>
  <c r="AC29" i="32" s="1"/>
  <c r="AB40" i="32"/>
  <c r="AC40" i="32" s="1"/>
  <c r="AP40" i="32"/>
  <c r="P50" i="32"/>
  <c r="AP50" i="32"/>
  <c r="P54" i="32"/>
  <c r="AB59" i="32"/>
  <c r="AC59" i="32" s="1"/>
  <c r="AP59" i="32"/>
  <c r="AQ5" i="42"/>
  <c r="BC5" i="42"/>
  <c r="AE6" i="42"/>
  <c r="AQ6" i="42"/>
  <c r="BC6" i="42"/>
  <c r="AC7" i="42"/>
  <c r="AD7" i="42" s="1"/>
  <c r="AE7" i="42" s="1"/>
  <c r="BS7" i="42"/>
  <c r="BT7" i="42" s="1"/>
  <c r="K6" i="42"/>
  <c r="K16" i="42"/>
  <c r="K14" i="42"/>
  <c r="K13" i="42"/>
  <c r="K15" i="42"/>
  <c r="K11" i="42"/>
  <c r="K12" i="42"/>
  <c r="AE11" i="42"/>
  <c r="BC20" i="42"/>
  <c r="AE24" i="42"/>
  <c r="AE23" i="42"/>
  <c r="AH24" i="42"/>
  <c r="AG24" i="42"/>
  <c r="BP34" i="42"/>
  <c r="BI34" i="42"/>
  <c r="H42" i="78"/>
  <c r="I42" i="78" s="1"/>
  <c r="B41" i="91" s="1"/>
  <c r="J41" i="53"/>
  <c r="K41" i="53" s="1"/>
  <c r="K7" i="28"/>
  <c r="K6" i="28"/>
  <c r="L9" i="28"/>
  <c r="L8" i="28"/>
  <c r="K27" i="28"/>
  <c r="K26" i="28"/>
  <c r="J36" i="28"/>
  <c r="K44" i="28"/>
  <c r="K43" i="28"/>
  <c r="L48" i="28"/>
  <c r="L49" i="28"/>
  <c r="J50" i="28"/>
  <c r="J49" i="28"/>
  <c r="AB30" i="32"/>
  <c r="AC30" i="32" s="1"/>
  <c r="AP30" i="32"/>
  <c r="AB32" i="32"/>
  <c r="AC32" i="32" s="1"/>
  <c r="AP32" i="32"/>
  <c r="BG42" i="32"/>
  <c r="BH42" i="32" s="1"/>
  <c r="P69" i="32"/>
  <c r="P75" i="32"/>
  <c r="P77" i="32"/>
  <c r="BD78" i="32"/>
  <c r="K53" i="51"/>
  <c r="K67" i="51"/>
  <c r="AE8" i="42"/>
  <c r="L28" i="42"/>
  <c r="BI19" i="42"/>
  <c r="BP19" i="42"/>
  <c r="AQ32" i="42"/>
  <c r="BI36" i="42"/>
  <c r="H57" i="79"/>
  <c r="I57" i="79" s="1"/>
  <c r="B55" i="90" s="1"/>
  <c r="BG32" i="32"/>
  <c r="BH32" i="32" s="1"/>
  <c r="B43" i="89"/>
  <c r="I45" i="53"/>
  <c r="J45" i="53" s="1"/>
  <c r="K45" i="53" s="1"/>
  <c r="B50" i="89"/>
  <c r="I52" i="53"/>
  <c r="J52" i="53" s="1"/>
  <c r="K52" i="53" s="1"/>
  <c r="B53" i="89"/>
  <c r="O55" i="53"/>
  <c r="P55" i="53" s="1"/>
  <c r="C53" i="88" s="1"/>
  <c r="J10" i="28"/>
  <c r="L13" i="28"/>
  <c r="K39" i="28"/>
  <c r="K38" i="28"/>
  <c r="L43" i="28"/>
  <c r="L42" i="28"/>
  <c r="J45" i="28"/>
  <c r="J44" i="28"/>
  <c r="K48" i="28"/>
  <c r="K47" i="28"/>
  <c r="AP36" i="32"/>
  <c r="AW51" i="32"/>
  <c r="BD52" i="32"/>
  <c r="P57" i="32"/>
  <c r="P61" i="32"/>
  <c r="AE16" i="42"/>
  <c r="AG18" i="42"/>
  <c r="AH18" i="42"/>
  <c r="AQ30" i="42"/>
  <c r="BC30" i="42"/>
  <c r="BC33" i="42"/>
  <c r="AQ33" i="42"/>
  <c r="AE38" i="42"/>
  <c r="BC40" i="42"/>
  <c r="AQ40" i="42"/>
  <c r="B26" i="89"/>
  <c r="I28" i="53"/>
  <c r="B56" i="86"/>
  <c r="B56" i="87"/>
  <c r="B51" i="87"/>
  <c r="B51" i="86"/>
  <c r="B48" i="86"/>
  <c r="B48" i="87"/>
  <c r="B43" i="87"/>
  <c r="B43" i="86"/>
  <c r="B40" i="86"/>
  <c r="B40" i="87"/>
  <c r="B35" i="87"/>
  <c r="B35" i="86"/>
  <c r="B32" i="86"/>
  <c r="B32" i="87"/>
  <c r="B27" i="87"/>
  <c r="B27" i="86"/>
  <c r="B24" i="86"/>
  <c r="B24" i="87"/>
  <c r="B19" i="87"/>
  <c r="B19" i="86"/>
  <c r="B16" i="86"/>
  <c r="B16" i="87"/>
  <c r="B11" i="86"/>
  <c r="B11" i="87"/>
  <c r="B8" i="87"/>
  <c r="B8" i="86"/>
  <c r="K5" i="28"/>
  <c r="B36" i="89"/>
  <c r="I38" i="53"/>
  <c r="J38" i="53" s="1"/>
  <c r="K38" i="53" s="1"/>
  <c r="J12" i="28"/>
  <c r="J11" i="28"/>
  <c r="L20" i="28"/>
  <c r="L19" i="28"/>
  <c r="L47" i="28"/>
  <c r="L46" i="28"/>
  <c r="J56" i="28"/>
  <c r="J55" i="28"/>
  <c r="P33" i="32"/>
  <c r="BD45" i="32"/>
  <c r="BD56" i="32"/>
  <c r="BG57" i="32"/>
  <c r="BH57" i="32" s="1"/>
  <c r="BF58" i="32"/>
  <c r="BG58" i="32" s="1"/>
  <c r="BH58" i="32" s="1"/>
  <c r="P59" i="32"/>
  <c r="P65" i="32"/>
  <c r="BG77" i="32"/>
  <c r="BH77" i="32" s="1"/>
  <c r="BS22" i="42"/>
  <c r="BT22" i="42" s="1"/>
  <c r="BI26" i="42"/>
  <c r="BI25" i="42"/>
  <c r="BP25" i="42"/>
  <c r="AH29" i="42"/>
  <c r="AG29" i="42"/>
  <c r="AG33" i="42"/>
  <c r="AH33" i="42"/>
  <c r="B26" i="94"/>
  <c r="H26" i="83"/>
  <c r="B18" i="94"/>
  <c r="H18" i="83"/>
  <c r="O39" i="53"/>
  <c r="P39" i="53" s="1"/>
  <c r="C37" i="88" s="1"/>
  <c r="I37" i="53"/>
  <c r="J37" i="53" s="1"/>
  <c r="K37" i="53" s="1"/>
  <c r="I39" i="53"/>
  <c r="J39" i="53" s="1"/>
  <c r="K39" i="53" s="1"/>
  <c r="I46" i="53"/>
  <c r="J46" i="53" s="1"/>
  <c r="I53" i="53"/>
  <c r="AP35" i="32"/>
  <c r="AJ52" i="32"/>
  <c r="AL52" i="32" s="1"/>
  <c r="AM52" i="32" s="1"/>
  <c r="C17" i="51"/>
  <c r="G13" i="51" s="1"/>
  <c r="M14" i="51" s="1"/>
  <c r="C78" i="51"/>
  <c r="G18" i="51" s="1"/>
  <c r="C206" i="51"/>
  <c r="G29" i="51" s="1"/>
  <c r="C368" i="51"/>
  <c r="G42" i="51" s="1"/>
  <c r="C624" i="51"/>
  <c r="G63" i="51" s="1"/>
  <c r="BI20" i="42"/>
  <c r="BS26" i="42"/>
  <c r="BT26" i="42" s="1"/>
  <c r="AG32" i="42"/>
  <c r="AE35" i="42"/>
  <c r="BI35" i="42"/>
  <c r="BI40" i="42"/>
  <c r="BI43" i="42"/>
  <c r="BR43" i="42"/>
  <c r="BS43" i="42" s="1"/>
  <c r="BT43" i="42" s="1"/>
  <c r="AG47" i="42"/>
  <c r="AH47" i="42"/>
  <c r="I28" i="45"/>
  <c r="B34" i="89"/>
  <c r="I36" i="53"/>
  <c r="J36" i="53" s="1"/>
  <c r="H16" i="79"/>
  <c r="I16" i="79" s="1"/>
  <c r="B14" i="90" s="1"/>
  <c r="H32" i="79"/>
  <c r="I32" i="79" s="1"/>
  <c r="B30" i="90" s="1"/>
  <c r="H60" i="78"/>
  <c r="I60" i="78" s="1"/>
  <c r="B59" i="91" s="1"/>
  <c r="E60" i="79"/>
  <c r="F60" i="53"/>
  <c r="E52" i="79"/>
  <c r="F52" i="53"/>
  <c r="M52" i="53" s="1"/>
  <c r="N52" i="53" s="1"/>
  <c r="H52" i="78"/>
  <c r="I52" i="78" s="1"/>
  <c r="B51" i="91" s="1"/>
  <c r="E44" i="79"/>
  <c r="F44" i="53"/>
  <c r="M44" i="53" s="1"/>
  <c r="N44" i="53" s="1"/>
  <c r="F36" i="53"/>
  <c r="M36" i="53" s="1"/>
  <c r="N36" i="53" s="1"/>
  <c r="E36" i="79"/>
  <c r="H36" i="78"/>
  <c r="I36" i="78" s="1"/>
  <c r="B35" i="91" s="1"/>
  <c r="H28" i="78"/>
  <c r="I28" i="78" s="1"/>
  <c r="B27" i="91" s="1"/>
  <c r="F28" i="53"/>
  <c r="M28" i="53" s="1"/>
  <c r="N28" i="53" s="1"/>
  <c r="E28" i="79"/>
  <c r="F20" i="53"/>
  <c r="M20" i="53" s="1"/>
  <c r="N20" i="53" s="1"/>
  <c r="E20" i="79"/>
  <c r="H12" i="78"/>
  <c r="I12" i="78" s="1"/>
  <c r="B11" i="91" s="1"/>
  <c r="F12" i="53"/>
  <c r="E12" i="79"/>
  <c r="B33" i="95"/>
  <c r="S20" i="42"/>
  <c r="BC41" i="42"/>
  <c r="AQ41" i="42"/>
  <c r="AE42" i="42"/>
  <c r="AE44" i="42"/>
  <c r="S40" i="42"/>
  <c r="S49" i="42"/>
  <c r="E22" i="45"/>
  <c r="I24" i="45"/>
  <c r="G24" i="45"/>
  <c r="J24" i="45" s="1"/>
  <c r="F29" i="45"/>
  <c r="J29" i="45" s="1"/>
  <c r="B15" i="89"/>
  <c r="I17" i="53"/>
  <c r="J17" i="53" s="1"/>
  <c r="K17" i="53" s="1"/>
  <c r="B6" i="89"/>
  <c r="I8" i="53"/>
  <c r="J8" i="53" s="1"/>
  <c r="B19" i="89"/>
  <c r="I21" i="53"/>
  <c r="H20" i="79"/>
  <c r="I20" i="79" s="1"/>
  <c r="B18" i="90" s="1"/>
  <c r="H36" i="79"/>
  <c r="I36" i="79" s="1"/>
  <c r="B34" i="90" s="1"/>
  <c r="H59" i="79"/>
  <c r="I59" i="79" s="1"/>
  <c r="B57" i="90" s="1"/>
  <c r="F54" i="53"/>
  <c r="M54" i="53" s="1"/>
  <c r="N54" i="53" s="1"/>
  <c r="E54" i="79"/>
  <c r="H54" i="78"/>
  <c r="I54" i="78" s="1"/>
  <c r="B53" i="91" s="1"/>
  <c r="H46" i="78"/>
  <c r="I46" i="78" s="1"/>
  <c r="B45" i="91" s="1"/>
  <c r="F46" i="53"/>
  <c r="M46" i="53" s="1"/>
  <c r="N46" i="53" s="1"/>
  <c r="H7" i="78"/>
  <c r="I7" i="78" s="1"/>
  <c r="B6" i="91" s="1"/>
  <c r="H29" i="78"/>
  <c r="I29" i="78" s="1"/>
  <c r="B28" i="91" s="1"/>
  <c r="H25" i="78"/>
  <c r="I25" i="78" s="1"/>
  <c r="B24" i="91" s="1"/>
  <c r="H11" i="78"/>
  <c r="I11" i="78" s="1"/>
  <c r="B10" i="91" s="1"/>
  <c r="H5" i="78"/>
  <c r="I5" i="78" s="1"/>
  <c r="B4" i="91" s="1"/>
  <c r="H13" i="78"/>
  <c r="I13" i="78" s="1"/>
  <c r="B12" i="91" s="1"/>
  <c r="H23" i="78"/>
  <c r="I23" i="78" s="1"/>
  <c r="B22" i="91" s="1"/>
  <c r="H31" i="78"/>
  <c r="I31" i="78" s="1"/>
  <c r="B30" i="91" s="1"/>
  <c r="H41" i="78"/>
  <c r="I41" i="78" s="1"/>
  <c r="B40" i="91" s="1"/>
  <c r="H43" i="78"/>
  <c r="I43" i="78" s="1"/>
  <c r="B42" i="91" s="1"/>
  <c r="H53" i="78"/>
  <c r="I53" i="78" s="1"/>
  <c r="B52" i="91" s="1"/>
  <c r="H37" i="78"/>
  <c r="I37" i="78" s="1"/>
  <c r="B36" i="91" s="1"/>
  <c r="H39" i="78"/>
  <c r="I39" i="78" s="1"/>
  <c r="B38" i="91" s="1"/>
  <c r="H45" i="78"/>
  <c r="I45" i="78" s="1"/>
  <c r="B44" i="91" s="1"/>
  <c r="H55" i="78"/>
  <c r="I55" i="78" s="1"/>
  <c r="B54" i="91" s="1"/>
  <c r="H57" i="78"/>
  <c r="I57" i="78" s="1"/>
  <c r="B56" i="91" s="1"/>
  <c r="F38" i="53"/>
  <c r="M38" i="53" s="1"/>
  <c r="N38" i="53" s="1"/>
  <c r="E38" i="79"/>
  <c r="H59" i="78"/>
  <c r="I59" i="78" s="1"/>
  <c r="B58" i="91" s="1"/>
  <c r="H15" i="78"/>
  <c r="I15" i="78" s="1"/>
  <c r="B14" i="91" s="1"/>
  <c r="H35" i="78"/>
  <c r="I35" i="78" s="1"/>
  <c r="B34" i="91" s="1"/>
  <c r="H49" i="78"/>
  <c r="I49" i="78" s="1"/>
  <c r="B48" i="91" s="1"/>
  <c r="H51" i="78"/>
  <c r="I51" i="78" s="1"/>
  <c r="B50" i="91" s="1"/>
  <c r="H47" i="78"/>
  <c r="I47" i="78" s="1"/>
  <c r="B46" i="91" s="1"/>
  <c r="E30" i="79"/>
  <c r="H30" i="78"/>
  <c r="I30" i="78" s="1"/>
  <c r="B29" i="91" s="1"/>
  <c r="F30" i="53"/>
  <c r="M30" i="53" s="1"/>
  <c r="N30" i="53" s="1"/>
  <c r="E22" i="79"/>
  <c r="H22" i="78"/>
  <c r="I22" i="78" s="1"/>
  <c r="B21" i="91" s="1"/>
  <c r="F22" i="53"/>
  <c r="M22" i="53" s="1"/>
  <c r="N22" i="53" s="1"/>
  <c r="E14" i="79"/>
  <c r="H14" i="78"/>
  <c r="I14" i="78" s="1"/>
  <c r="B13" i="91" s="1"/>
  <c r="F14" i="53"/>
  <c r="M14" i="53" s="1"/>
  <c r="N14" i="53" s="1"/>
  <c r="E6" i="79"/>
  <c r="F6" i="53"/>
  <c r="M6" i="53" s="1"/>
  <c r="N6" i="53" s="1"/>
  <c r="H6" i="78"/>
  <c r="I6" i="78" s="1"/>
  <c r="B5" i="91" s="1"/>
  <c r="C44" i="51"/>
  <c r="G15" i="51" s="1"/>
  <c r="C142" i="51"/>
  <c r="C270" i="51"/>
  <c r="G34" i="51" s="1"/>
  <c r="BR24" i="42"/>
  <c r="BS24" i="42" s="1"/>
  <c r="BT24" i="42" s="1"/>
  <c r="BR31" i="42"/>
  <c r="BS31" i="42" s="1"/>
  <c r="BT31" i="42" s="1"/>
  <c r="AE32" i="42"/>
  <c r="AQ46" i="42"/>
  <c r="BC46" i="42"/>
  <c r="BI49" i="42"/>
  <c r="AQ56" i="42"/>
  <c r="BC56" i="42"/>
  <c r="I22" i="45"/>
  <c r="I31" i="45" s="1"/>
  <c r="F28" i="45"/>
  <c r="H38" i="78"/>
  <c r="I38" i="78" s="1"/>
  <c r="B37" i="91" s="1"/>
  <c r="H19" i="78"/>
  <c r="I19" i="78" s="1"/>
  <c r="B18" i="91" s="1"/>
  <c r="H8" i="79"/>
  <c r="I8" i="79" s="1"/>
  <c r="B6" i="90" s="1"/>
  <c r="H24" i="79"/>
  <c r="I24" i="79" s="1"/>
  <c r="B22" i="90" s="1"/>
  <c r="H56" i="78"/>
  <c r="I56" i="78" s="1"/>
  <c r="B55" i="91" s="1"/>
  <c r="E56" i="79"/>
  <c r="F56" i="53"/>
  <c r="M56" i="53" s="1"/>
  <c r="N56" i="53" s="1"/>
  <c r="E48" i="79"/>
  <c r="F48" i="53"/>
  <c r="M48" i="53" s="1"/>
  <c r="N48" i="53" s="1"/>
  <c r="E40" i="79"/>
  <c r="F40" i="53"/>
  <c r="M40" i="53" s="1"/>
  <c r="N40" i="53" s="1"/>
  <c r="F32" i="53"/>
  <c r="M32" i="53" s="1"/>
  <c r="N32" i="53" s="1"/>
  <c r="E32" i="79"/>
  <c r="H32" i="78"/>
  <c r="I32" i="78" s="1"/>
  <c r="B31" i="91" s="1"/>
  <c r="H24" i="78"/>
  <c r="I24" i="78" s="1"/>
  <c r="B23" i="91" s="1"/>
  <c r="F24" i="53"/>
  <c r="M24" i="53" s="1"/>
  <c r="N24" i="53" s="1"/>
  <c r="F16" i="53"/>
  <c r="E16" i="79"/>
  <c r="H16" i="78"/>
  <c r="I16" i="78" s="1"/>
  <c r="B15" i="91" s="1"/>
  <c r="H8" i="78"/>
  <c r="I8" i="78" s="1"/>
  <c r="B7" i="91" s="1"/>
  <c r="F8" i="53"/>
  <c r="M8" i="53" s="1"/>
  <c r="N8" i="53" s="1"/>
  <c r="S35" i="42"/>
  <c r="BI50" i="42"/>
  <c r="I31" i="53"/>
  <c r="I13" i="53"/>
  <c r="J13" i="53" s="1"/>
  <c r="K13" i="53" s="1"/>
  <c r="I9" i="53"/>
  <c r="J9" i="53" s="1"/>
  <c r="K9" i="53" s="1"/>
  <c r="B4" i="86"/>
  <c r="B4" i="87"/>
  <c r="B53" i="87"/>
  <c r="B53" i="86"/>
  <c r="B50" i="87"/>
  <c r="B50" i="86"/>
  <c r="B45" i="87"/>
  <c r="B45" i="86"/>
  <c r="B42" i="87"/>
  <c r="B42" i="86"/>
  <c r="B34" i="87"/>
  <c r="B34" i="86"/>
  <c r="B29" i="87"/>
  <c r="B29" i="86"/>
  <c r="B26" i="87"/>
  <c r="B26" i="86"/>
  <c r="B21" i="87"/>
  <c r="B21" i="86"/>
  <c r="B18" i="87"/>
  <c r="B18" i="86"/>
  <c r="B13" i="87"/>
  <c r="B13" i="86"/>
  <c r="B5" i="86"/>
  <c r="B5" i="87"/>
  <c r="H9" i="79"/>
  <c r="I9" i="79" s="1"/>
  <c r="B7" i="90" s="1"/>
  <c r="H13" i="79"/>
  <c r="I13" i="79" s="1"/>
  <c r="B11" i="90" s="1"/>
  <c r="H17" i="79"/>
  <c r="I17" i="79" s="1"/>
  <c r="B15" i="90" s="1"/>
  <c r="H21" i="79"/>
  <c r="I21" i="79" s="1"/>
  <c r="B19" i="90" s="1"/>
  <c r="H25" i="79"/>
  <c r="I25" i="79" s="1"/>
  <c r="B23" i="90" s="1"/>
  <c r="H29" i="79"/>
  <c r="I29" i="79" s="1"/>
  <c r="B27" i="90" s="1"/>
  <c r="H33" i="79"/>
  <c r="I33" i="79" s="1"/>
  <c r="B31" i="90" s="1"/>
  <c r="H37" i="79"/>
  <c r="I37" i="79" s="1"/>
  <c r="B35" i="90" s="1"/>
  <c r="D54" i="95"/>
  <c r="I54" i="83"/>
  <c r="B54" i="95" s="1"/>
  <c r="D44" i="95"/>
  <c r="I44" i="83"/>
  <c r="B44" i="95" s="1"/>
  <c r="D42" i="95"/>
  <c r="I42" i="83"/>
  <c r="B42" i="95" s="1"/>
  <c r="D40" i="95"/>
  <c r="I40" i="83"/>
  <c r="B40" i="95" s="1"/>
  <c r="B30" i="94"/>
  <c r="H30" i="83"/>
  <c r="B20" i="94"/>
  <c r="H20" i="83"/>
  <c r="B55" i="87"/>
  <c r="B55" i="86"/>
  <c r="B52" i="86"/>
  <c r="B52" i="87"/>
  <c r="B47" i="87"/>
  <c r="B47" i="86"/>
  <c r="B44" i="86"/>
  <c r="B44" i="87"/>
  <c r="B39" i="87"/>
  <c r="B39" i="86"/>
  <c r="B36" i="86"/>
  <c r="B36" i="87"/>
  <c r="B31" i="87"/>
  <c r="B31" i="86"/>
  <c r="B28" i="86"/>
  <c r="B28" i="87"/>
  <c r="B23" i="87"/>
  <c r="B23" i="86"/>
  <c r="B20" i="86"/>
  <c r="B20" i="87"/>
  <c r="B15" i="86"/>
  <c r="B15" i="87"/>
  <c r="B12" i="86"/>
  <c r="B12" i="87"/>
  <c r="B7" i="87"/>
  <c r="B7" i="86"/>
  <c r="H51" i="79"/>
  <c r="I51" i="79" s="1"/>
  <c r="B49" i="90" s="1"/>
  <c r="H55" i="79"/>
  <c r="I55" i="79" s="1"/>
  <c r="B53" i="90" s="1"/>
  <c r="B22" i="94"/>
  <c r="H22" i="83"/>
  <c r="B49" i="86"/>
  <c r="B57" i="86"/>
  <c r="B57" i="87"/>
  <c r="B54" i="87"/>
  <c r="B54" i="86"/>
  <c r="B46" i="87"/>
  <c r="B46" i="86"/>
  <c r="B41" i="86"/>
  <c r="B41" i="87"/>
  <c r="B38" i="87"/>
  <c r="B38" i="86"/>
  <c r="B33" i="87"/>
  <c r="B33" i="86"/>
  <c r="B30" i="87"/>
  <c r="B30" i="86"/>
  <c r="B25" i="86"/>
  <c r="B25" i="87"/>
  <c r="B22" i="87"/>
  <c r="B22" i="86"/>
  <c r="B17" i="87"/>
  <c r="B17" i="86"/>
  <c r="B14" i="87"/>
  <c r="B14" i="86"/>
  <c r="B9" i="86"/>
  <c r="B9" i="87"/>
  <c r="B6" i="87"/>
  <c r="B6" i="86"/>
  <c r="H39" i="79"/>
  <c r="I39" i="79" s="1"/>
  <c r="B37" i="90" s="1"/>
  <c r="H47" i="79"/>
  <c r="I47" i="79" s="1"/>
  <c r="B45" i="90" s="1"/>
  <c r="B24" i="94"/>
  <c r="P8" i="83"/>
  <c r="H24" i="83"/>
  <c r="B16" i="94"/>
  <c r="H16" i="83"/>
  <c r="B13" i="94"/>
  <c r="H13" i="83"/>
  <c r="D10" i="95"/>
  <c r="I10" i="83"/>
  <c r="B10" i="95" s="1"/>
  <c r="B5" i="94"/>
  <c r="H5" i="83"/>
  <c r="D56" i="95"/>
  <c r="I56" i="83"/>
  <c r="B56" i="95" s="1"/>
  <c r="B46" i="94"/>
  <c r="H46" i="83"/>
  <c r="B37" i="94"/>
  <c r="H37" i="83"/>
  <c r="B15" i="94"/>
  <c r="H15" i="83"/>
  <c r="B7" i="94"/>
  <c r="H7" i="83"/>
  <c r="B4" i="94"/>
  <c r="H4" i="83"/>
  <c r="B53" i="94"/>
  <c r="H53" i="83"/>
  <c r="I51" i="83"/>
  <c r="B51" i="95" s="1"/>
  <c r="D51" i="95"/>
  <c r="D45" i="95"/>
  <c r="I45" i="83"/>
  <c r="B45" i="95" s="1"/>
  <c r="B39" i="94"/>
  <c r="H39" i="83"/>
  <c r="B33" i="94"/>
  <c r="Q8" i="83"/>
  <c r="D14" i="95"/>
  <c r="I14" i="83"/>
  <c r="B14" i="95" s="1"/>
  <c r="B9" i="94"/>
  <c r="H9" i="83"/>
  <c r="Q10" i="83"/>
  <c r="I6" i="83"/>
  <c r="B6" i="95" s="1"/>
  <c r="D57" i="95"/>
  <c r="I57" i="83"/>
  <c r="B57" i="95" s="1"/>
  <c r="B55" i="94"/>
  <c r="H55" i="83"/>
  <c r="D38" i="95"/>
  <c r="I38" i="83"/>
  <c r="B38" i="95" s="1"/>
  <c r="B28" i="94"/>
  <c r="H28" i="83"/>
  <c r="B11" i="94"/>
  <c r="H11" i="83"/>
  <c r="Q18" i="51" l="1"/>
  <c r="Z18" i="51"/>
  <c r="M18" i="51"/>
  <c r="P18" i="51" s="1"/>
  <c r="M19" i="51"/>
  <c r="P19" i="51" s="1"/>
  <c r="Q42" i="51"/>
  <c r="M42" i="51"/>
  <c r="P42" i="51" s="1"/>
  <c r="K60" i="53"/>
  <c r="M60" i="53"/>
  <c r="N60" i="53" s="1"/>
  <c r="M41" i="51"/>
  <c r="P41" i="51" s="1"/>
  <c r="Q41" i="51"/>
  <c r="Q61" i="51"/>
  <c r="M61" i="51"/>
  <c r="P61" i="51" s="1"/>
  <c r="D11" i="95"/>
  <c r="I11" i="83"/>
  <c r="B11" i="95" s="1"/>
  <c r="D26" i="95"/>
  <c r="I26" i="83"/>
  <c r="B26" i="95" s="1"/>
  <c r="K50" i="53"/>
  <c r="M50" i="53"/>
  <c r="N50" i="53" s="1"/>
  <c r="M67" i="51"/>
  <c r="P67" i="51" s="1"/>
  <c r="Q67" i="51"/>
  <c r="Q44" i="51"/>
  <c r="M44" i="51"/>
  <c r="P44" i="51" s="1"/>
  <c r="M42" i="53"/>
  <c r="N42" i="53" s="1"/>
  <c r="K42" i="53"/>
  <c r="D9" i="95"/>
  <c r="I9" i="83"/>
  <c r="B9" i="95" s="1"/>
  <c r="D53" i="95"/>
  <c r="I53" i="83"/>
  <c r="B53" i="95" s="1"/>
  <c r="M34" i="51"/>
  <c r="P34" i="51" s="1"/>
  <c r="Q34" i="51"/>
  <c r="J21" i="53"/>
  <c r="K21" i="53" s="1"/>
  <c r="J22" i="53"/>
  <c r="K22" i="53" s="1"/>
  <c r="Q49" i="51"/>
  <c r="M49" i="51"/>
  <c r="P49" i="51" s="1"/>
  <c r="Z17" i="51"/>
  <c r="M17" i="51"/>
  <c r="P17" i="51" s="1"/>
  <c r="Q17" i="51"/>
  <c r="M35" i="51"/>
  <c r="P35" i="51" s="1"/>
  <c r="M53" i="51"/>
  <c r="P53" i="51" s="1"/>
  <c r="Q53" i="51"/>
  <c r="M43" i="51"/>
  <c r="P43" i="51" s="1"/>
  <c r="Q43" i="51"/>
  <c r="Q58" i="51"/>
  <c r="M58" i="51"/>
  <c r="P58" i="51" s="1"/>
  <c r="D11" i="47"/>
  <c r="F10" i="47"/>
  <c r="H10" i="47" s="1"/>
  <c r="C10" i="84" s="1"/>
  <c r="M16" i="53"/>
  <c r="N16" i="53" s="1"/>
  <c r="K16" i="53"/>
  <c r="H50" i="79"/>
  <c r="I50" i="79" s="1"/>
  <c r="B48" i="90" s="1"/>
  <c r="H42" i="79"/>
  <c r="I42" i="79" s="1"/>
  <c r="B40" i="90" s="1"/>
  <c r="H46" i="79"/>
  <c r="I46" i="79" s="1"/>
  <c r="B44" i="90" s="1"/>
  <c r="H48" i="79"/>
  <c r="I48" i="79" s="1"/>
  <c r="B46" i="90" s="1"/>
  <c r="H34" i="79"/>
  <c r="I34" i="79" s="1"/>
  <c r="B32" i="90" s="1"/>
  <c r="H30" i="79"/>
  <c r="I30" i="79" s="1"/>
  <c r="B28" i="90" s="1"/>
  <c r="H26" i="79"/>
  <c r="I26" i="79" s="1"/>
  <c r="B24" i="90" s="1"/>
  <c r="H22" i="79"/>
  <c r="I22" i="79" s="1"/>
  <c r="B20" i="90" s="1"/>
  <c r="H18" i="79"/>
  <c r="I18" i="79" s="1"/>
  <c r="B16" i="90" s="1"/>
  <c r="H14" i="79"/>
  <c r="I14" i="79" s="1"/>
  <c r="B12" i="90" s="1"/>
  <c r="H10" i="79"/>
  <c r="I10" i="79" s="1"/>
  <c r="B8" i="90" s="1"/>
  <c r="H6" i="79"/>
  <c r="I6" i="79" s="1"/>
  <c r="B4" i="90" s="1"/>
  <c r="H58" i="79"/>
  <c r="I58" i="79" s="1"/>
  <c r="B56" i="90" s="1"/>
  <c r="H49" i="79"/>
  <c r="I49" i="79" s="1"/>
  <c r="B47" i="90" s="1"/>
  <c r="H52" i="79"/>
  <c r="I52" i="79" s="1"/>
  <c r="B50" i="90" s="1"/>
  <c r="H43" i="79"/>
  <c r="I43" i="79" s="1"/>
  <c r="B41" i="90" s="1"/>
  <c r="H41" i="79"/>
  <c r="I41" i="79" s="1"/>
  <c r="B39" i="90" s="1"/>
  <c r="H38" i="79"/>
  <c r="I38" i="79" s="1"/>
  <c r="B36" i="90" s="1"/>
  <c r="H35" i="79"/>
  <c r="I35" i="79" s="1"/>
  <c r="B33" i="90" s="1"/>
  <c r="H31" i="79"/>
  <c r="I31" i="79" s="1"/>
  <c r="B29" i="90" s="1"/>
  <c r="H27" i="79"/>
  <c r="I27" i="79" s="1"/>
  <c r="B25" i="90" s="1"/>
  <c r="H23" i="79"/>
  <c r="I23" i="79" s="1"/>
  <c r="B21" i="90" s="1"/>
  <c r="H19" i="79"/>
  <c r="I19" i="79" s="1"/>
  <c r="B17" i="90" s="1"/>
  <c r="H15" i="79"/>
  <c r="I15" i="79" s="1"/>
  <c r="B13" i="90" s="1"/>
  <c r="H11" i="79"/>
  <c r="I11" i="79" s="1"/>
  <c r="B9" i="90" s="1"/>
  <c r="H7" i="79"/>
  <c r="I7" i="79" s="1"/>
  <c r="B5" i="90" s="1"/>
  <c r="H45" i="79"/>
  <c r="I45" i="79" s="1"/>
  <c r="B43" i="90" s="1"/>
  <c r="H44" i="79"/>
  <c r="I44" i="79" s="1"/>
  <c r="B42" i="90" s="1"/>
  <c r="H54" i="79"/>
  <c r="I54" i="79" s="1"/>
  <c r="B52" i="90" s="1"/>
  <c r="H56" i="79"/>
  <c r="I56" i="79" s="1"/>
  <c r="B54" i="90" s="1"/>
  <c r="H40" i="79"/>
  <c r="I40" i="79" s="1"/>
  <c r="B38" i="90" s="1"/>
  <c r="E31" i="45"/>
  <c r="J22" i="45"/>
  <c r="K36" i="53"/>
  <c r="J53" i="53"/>
  <c r="K53" i="53" s="1"/>
  <c r="J54" i="53"/>
  <c r="K54" i="53" s="1"/>
  <c r="K6" i="53"/>
  <c r="L6" i="53" s="1"/>
  <c r="H53" i="79"/>
  <c r="I53" i="79" s="1"/>
  <c r="B51" i="90" s="1"/>
  <c r="Q46" i="51"/>
  <c r="M46" i="51"/>
  <c r="P46" i="51" s="1"/>
  <c r="J40" i="53"/>
  <c r="K40" i="53" s="1"/>
  <c r="K26" i="53"/>
  <c r="K34" i="53"/>
  <c r="Q48" i="51"/>
  <c r="Z25" i="51"/>
  <c r="Z21" i="51"/>
  <c r="Z22" i="51"/>
  <c r="Z16" i="51"/>
  <c r="M48" i="51"/>
  <c r="P48" i="51" s="1"/>
  <c r="Z24" i="51"/>
  <c r="M45" i="51"/>
  <c r="P45" i="51" s="1"/>
  <c r="Q38" i="51"/>
  <c r="Q52" i="51"/>
  <c r="M52" i="51"/>
  <c r="P52" i="51" s="1"/>
  <c r="M39" i="51"/>
  <c r="P39" i="51" s="1"/>
  <c r="Q39" i="51"/>
  <c r="Q36" i="51"/>
  <c r="M36" i="51"/>
  <c r="P36" i="51" s="1"/>
  <c r="K24" i="53"/>
  <c r="K48" i="53"/>
  <c r="K30" i="53"/>
  <c r="Q50" i="51"/>
  <c r="M50" i="51"/>
  <c r="P50" i="51" s="1"/>
  <c r="M23" i="51"/>
  <c r="P23" i="51" s="1"/>
  <c r="Z23" i="51"/>
  <c r="Q23" i="51"/>
  <c r="Q47" i="51"/>
  <c r="M47" i="51"/>
  <c r="P47" i="51" s="1"/>
  <c r="D7" i="95"/>
  <c r="I7" i="83"/>
  <c r="B7" i="95" s="1"/>
  <c r="D37" i="95"/>
  <c r="I37" i="83"/>
  <c r="D16" i="95"/>
  <c r="I16" i="83"/>
  <c r="B16" i="95" s="1"/>
  <c r="D20" i="95"/>
  <c r="I20" i="83"/>
  <c r="B20" i="95" s="1"/>
  <c r="M12" i="53"/>
  <c r="N12" i="53" s="1"/>
  <c r="K12" i="53"/>
  <c r="M29" i="51"/>
  <c r="P29" i="51" s="1"/>
  <c r="Q29" i="51"/>
  <c r="M31" i="51"/>
  <c r="P31" i="51" s="1"/>
  <c r="Q31" i="51"/>
  <c r="D28" i="95"/>
  <c r="I28" i="83"/>
  <c r="B28" i="95" s="1"/>
  <c r="D55" i="95"/>
  <c r="I55" i="83"/>
  <c r="B55" i="95" s="1"/>
  <c r="D39" i="95"/>
  <c r="I39" i="83"/>
  <c r="B39" i="95" s="1"/>
  <c r="D4" i="95"/>
  <c r="O10" i="83"/>
  <c r="I4" i="83"/>
  <c r="D15" i="95"/>
  <c r="I15" i="83"/>
  <c r="B15" i="95" s="1"/>
  <c r="D46" i="95"/>
  <c r="I46" i="83"/>
  <c r="R10" i="83"/>
  <c r="D5" i="95"/>
  <c r="I5" i="83"/>
  <c r="B5" i="95" s="1"/>
  <c r="D13" i="95"/>
  <c r="I13" i="83"/>
  <c r="B13" i="95" s="1"/>
  <c r="D24" i="95"/>
  <c r="I24" i="83"/>
  <c r="P10" i="83"/>
  <c r="D22" i="95"/>
  <c r="I22" i="83"/>
  <c r="B22" i="95" s="1"/>
  <c r="D30" i="95"/>
  <c r="I30" i="83"/>
  <c r="B30" i="95" s="1"/>
  <c r="J31" i="53"/>
  <c r="K31" i="53" s="1"/>
  <c r="J32" i="53"/>
  <c r="K32" i="53" s="1"/>
  <c r="J28" i="45"/>
  <c r="M15" i="51"/>
  <c r="P15" i="51" s="1"/>
  <c r="Z15" i="51"/>
  <c r="M16" i="51"/>
  <c r="P16" i="51" s="1"/>
  <c r="K8" i="53"/>
  <c r="H60" i="79"/>
  <c r="I60" i="79" s="1"/>
  <c r="B58" i="90" s="1"/>
  <c r="Q63" i="51"/>
  <c r="M63" i="51"/>
  <c r="P63" i="51" s="1"/>
  <c r="K46" i="53"/>
  <c r="D18" i="95"/>
  <c r="I18" i="83"/>
  <c r="B18" i="95" s="1"/>
  <c r="H28" i="79"/>
  <c r="I28" i="79" s="1"/>
  <c r="B26" i="90" s="1"/>
  <c r="H12" i="79"/>
  <c r="I12" i="79" s="1"/>
  <c r="B10" i="90" s="1"/>
  <c r="J28" i="53"/>
  <c r="K28" i="53" s="1"/>
  <c r="J29" i="53"/>
  <c r="K29" i="53" s="1"/>
  <c r="Q59" i="51"/>
  <c r="M59" i="51"/>
  <c r="P59" i="51" s="1"/>
  <c r="M32" i="51"/>
  <c r="P32" i="51" s="1"/>
  <c r="K56" i="53"/>
  <c r="K20" i="53"/>
  <c r="M68" i="51"/>
  <c r="P68" i="51" s="1"/>
  <c r="Q68" i="51"/>
  <c r="Z14" i="51"/>
  <c r="J10" i="53"/>
  <c r="K10" i="53" s="1"/>
  <c r="M65" i="51"/>
  <c r="P65" i="51" s="1"/>
  <c r="Q65" i="51"/>
  <c r="Q57" i="51"/>
  <c r="M57" i="51"/>
  <c r="P57" i="51" s="1"/>
  <c r="J47" i="53"/>
  <c r="K47" i="53" s="1"/>
  <c r="Z19" i="51"/>
  <c r="G31" i="45"/>
  <c r="M62" i="51"/>
  <c r="P62" i="51" s="1"/>
  <c r="Z26" i="51"/>
  <c r="J31" i="45" l="1"/>
  <c r="B46" i="95"/>
  <c r="R11" i="83"/>
  <c r="B4" i="95"/>
  <c r="O11" i="83"/>
  <c r="B24" i="95"/>
  <c r="P11" i="83"/>
  <c r="B37" i="95"/>
  <c r="Q11" i="83"/>
  <c r="B4" i="88"/>
  <c r="L7" i="53"/>
  <c r="F11" i="47"/>
  <c r="H11" i="47" s="1"/>
  <c r="C11" i="84" s="1"/>
  <c r="D12" i="47"/>
  <c r="B5" i="88" l="1"/>
  <c r="L8" i="53"/>
  <c r="D13" i="47"/>
  <c r="F12" i="47"/>
  <c r="H12" i="47" s="1"/>
  <c r="C12" i="84" s="1"/>
  <c r="F13" i="47" l="1"/>
  <c r="H13" i="47" s="1"/>
  <c r="C13" i="84" s="1"/>
  <c r="D14" i="47"/>
  <c r="B6" i="88"/>
  <c r="L9" i="53"/>
  <c r="B7" i="88" l="1"/>
  <c r="L10" i="53"/>
  <c r="D15" i="47"/>
  <c r="F14" i="47"/>
  <c r="H14" i="47" s="1"/>
  <c r="C14" i="84" s="1"/>
  <c r="F15" i="47" l="1"/>
  <c r="H15" i="47" s="1"/>
  <c r="C15" i="84" s="1"/>
  <c r="D16" i="47"/>
  <c r="B8" i="88"/>
  <c r="L11" i="53"/>
  <c r="B9" i="88" l="1"/>
  <c r="L12" i="53"/>
  <c r="D17" i="47"/>
  <c r="F16" i="47"/>
  <c r="H16" i="47" s="1"/>
  <c r="C16" i="84" s="1"/>
  <c r="F17" i="47" l="1"/>
  <c r="H17" i="47" s="1"/>
  <c r="C17" i="84" s="1"/>
  <c r="D18" i="47"/>
  <c r="B10" i="88"/>
  <c r="L13" i="53"/>
  <c r="B11" i="88" l="1"/>
  <c r="L14" i="53"/>
  <c r="D19" i="47"/>
  <c r="F18" i="47"/>
  <c r="H18" i="47" s="1"/>
  <c r="C18" i="84" s="1"/>
  <c r="F19" i="47" l="1"/>
  <c r="H19" i="47" s="1"/>
  <c r="C19" i="84" s="1"/>
  <c r="D20" i="47"/>
  <c r="B12" i="88"/>
  <c r="L15" i="53"/>
  <c r="D21" i="47" l="1"/>
  <c r="F20" i="47"/>
  <c r="H20" i="47" s="1"/>
  <c r="C20" i="84" s="1"/>
  <c r="B13" i="88"/>
  <c r="L16" i="53"/>
  <c r="B14" i="88" l="1"/>
  <c r="L17" i="53"/>
  <c r="F21" i="47"/>
  <c r="H21" i="47" s="1"/>
  <c r="C21" i="84" s="1"/>
  <c r="D22" i="47"/>
  <c r="D23" i="47" l="1"/>
  <c r="F22" i="47"/>
  <c r="H22" i="47" s="1"/>
  <c r="C22" i="84" s="1"/>
  <c r="B15" i="88"/>
  <c r="L18" i="53"/>
  <c r="B16" i="88" l="1"/>
  <c r="L19" i="53"/>
  <c r="F23" i="47"/>
  <c r="H23" i="47" s="1"/>
  <c r="C23" i="84" s="1"/>
  <c r="D24" i="47"/>
  <c r="D25" i="47" l="1"/>
  <c r="F24" i="47"/>
  <c r="H24" i="47" s="1"/>
  <c r="C24" i="84" s="1"/>
  <c r="B17" i="88"/>
  <c r="L20" i="53"/>
  <c r="B18" i="88" l="1"/>
  <c r="L21" i="53"/>
  <c r="F25" i="47"/>
  <c r="H25" i="47" s="1"/>
  <c r="C25" i="84" s="1"/>
  <c r="D26" i="47"/>
  <c r="D27" i="47" l="1"/>
  <c r="F26" i="47"/>
  <c r="H26" i="47" s="1"/>
  <c r="C26" i="84" s="1"/>
  <c r="B19" i="88"/>
  <c r="L22" i="53"/>
  <c r="B20" i="88" l="1"/>
  <c r="L23" i="53"/>
  <c r="F27" i="47"/>
  <c r="H27" i="47" s="1"/>
  <c r="C27" i="84" s="1"/>
  <c r="D28" i="47"/>
  <c r="D29" i="47" l="1"/>
  <c r="F28" i="47"/>
  <c r="H28" i="47" s="1"/>
  <c r="C28" i="84" s="1"/>
  <c r="B21" i="88"/>
  <c r="L24" i="53"/>
  <c r="B22" i="88" l="1"/>
  <c r="L25" i="53"/>
  <c r="F29" i="47"/>
  <c r="H29" i="47" s="1"/>
  <c r="C29" i="84" s="1"/>
  <c r="D30" i="47"/>
  <c r="D31" i="47" l="1"/>
  <c r="F30" i="47"/>
  <c r="H30" i="47" s="1"/>
  <c r="C30" i="84" s="1"/>
  <c r="B23" i="88"/>
  <c r="L26" i="53"/>
  <c r="B24" i="88" l="1"/>
  <c r="L27" i="53"/>
  <c r="F31" i="47"/>
  <c r="H31" i="47" s="1"/>
  <c r="C31" i="84" s="1"/>
  <c r="D32" i="47"/>
  <c r="D33" i="47" l="1"/>
  <c r="F32" i="47"/>
  <c r="H32" i="47" s="1"/>
  <c r="C32" i="84" s="1"/>
  <c r="B25" i="88"/>
  <c r="L28" i="53"/>
  <c r="B26" i="88" l="1"/>
  <c r="L29" i="53"/>
  <c r="F33" i="47"/>
  <c r="H33" i="47" s="1"/>
  <c r="C33" i="84" s="1"/>
  <c r="D34" i="47"/>
  <c r="D35" i="47" l="1"/>
  <c r="F34" i="47"/>
  <c r="H34" i="47" s="1"/>
  <c r="C34" i="84" s="1"/>
  <c r="B27" i="88"/>
  <c r="L30" i="53"/>
  <c r="B28" i="88" l="1"/>
  <c r="L31" i="53"/>
  <c r="F35" i="47"/>
  <c r="H35" i="47" s="1"/>
  <c r="C35" i="84" s="1"/>
  <c r="D36" i="47"/>
  <c r="D37" i="47" l="1"/>
  <c r="F36" i="47"/>
  <c r="H36" i="47" s="1"/>
  <c r="C36" i="84" s="1"/>
  <c r="B29" i="88"/>
  <c r="L32" i="53"/>
  <c r="B30" i="88" l="1"/>
  <c r="L33" i="53"/>
  <c r="F37" i="47"/>
  <c r="H37" i="47" s="1"/>
  <c r="C37" i="84" s="1"/>
  <c r="D38" i="47"/>
  <c r="D39" i="47" l="1"/>
  <c r="F38" i="47"/>
  <c r="H38" i="47" s="1"/>
  <c r="C38" i="84" s="1"/>
  <c r="B31" i="88"/>
  <c r="L34" i="53"/>
  <c r="B32" i="88" l="1"/>
  <c r="L35" i="53"/>
  <c r="F39" i="47"/>
  <c r="H39" i="47" s="1"/>
  <c r="C39" i="84" s="1"/>
  <c r="D40" i="47"/>
  <c r="D41" i="47" l="1"/>
  <c r="F40" i="47"/>
  <c r="H40" i="47" s="1"/>
  <c r="C40" i="84" s="1"/>
  <c r="B33" i="88"/>
  <c r="L36" i="53"/>
  <c r="B34" i="88" l="1"/>
  <c r="L37" i="53"/>
  <c r="F41" i="47"/>
  <c r="H41" i="47" s="1"/>
  <c r="C41" i="84" s="1"/>
  <c r="D42" i="47"/>
  <c r="D43" i="47" l="1"/>
  <c r="F42" i="47"/>
  <c r="H42" i="47" s="1"/>
  <c r="C42" i="84" s="1"/>
  <c r="B35" i="88"/>
  <c r="L38" i="53"/>
  <c r="B36" i="88" l="1"/>
  <c r="L39" i="53"/>
  <c r="F43" i="47"/>
  <c r="H43" i="47" s="1"/>
  <c r="C43" i="84" s="1"/>
  <c r="D44" i="47"/>
  <c r="D45" i="47" l="1"/>
  <c r="F44" i="47"/>
  <c r="H44" i="47" s="1"/>
  <c r="C44" i="84" s="1"/>
  <c r="B37" i="88"/>
  <c r="L40" i="53"/>
  <c r="B38" i="88" l="1"/>
  <c r="L41" i="53"/>
  <c r="F45" i="47"/>
  <c r="H45" i="47" s="1"/>
  <c r="C45" i="84" s="1"/>
  <c r="D46" i="47"/>
  <c r="D47" i="47" l="1"/>
  <c r="F46" i="47"/>
  <c r="H46" i="47" s="1"/>
  <c r="C46" i="84" s="1"/>
  <c r="B39" i="88"/>
  <c r="L42" i="53"/>
  <c r="B40" i="88" l="1"/>
  <c r="L43" i="53"/>
  <c r="F47" i="47"/>
  <c r="H47" i="47" s="1"/>
  <c r="C47" i="84" s="1"/>
  <c r="D48" i="47"/>
  <c r="D49" i="47" l="1"/>
  <c r="F48" i="47"/>
  <c r="H48" i="47" s="1"/>
  <c r="C48" i="84" s="1"/>
  <c r="B41" i="88"/>
  <c r="L44" i="53"/>
  <c r="B42" i="88" l="1"/>
  <c r="L45" i="53"/>
  <c r="F49" i="47"/>
  <c r="H49" i="47" s="1"/>
  <c r="C49" i="84" s="1"/>
  <c r="D50" i="47"/>
  <c r="D51" i="47" l="1"/>
  <c r="F50" i="47"/>
  <c r="H50" i="47" s="1"/>
  <c r="C50" i="84" s="1"/>
  <c r="B43" i="88"/>
  <c r="L46" i="53"/>
  <c r="B44" i="88" l="1"/>
  <c r="L47" i="53"/>
  <c r="F51" i="47"/>
  <c r="H51" i="47" s="1"/>
  <c r="C51" i="84" s="1"/>
  <c r="D52" i="47"/>
  <c r="D53" i="47" l="1"/>
  <c r="F52" i="47"/>
  <c r="H52" i="47" s="1"/>
  <c r="C52" i="84" s="1"/>
  <c r="B45" i="88"/>
  <c r="L48" i="53"/>
  <c r="B46" i="88" l="1"/>
  <c r="L49" i="53"/>
  <c r="F53" i="47"/>
  <c r="H53" i="47" s="1"/>
  <c r="C53" i="84" s="1"/>
  <c r="D54" i="47"/>
  <c r="D55" i="47" l="1"/>
  <c r="F54" i="47"/>
  <c r="H54" i="47" s="1"/>
  <c r="C54" i="84" s="1"/>
  <c r="B47" i="88"/>
  <c r="L50" i="53"/>
  <c r="B48" i="88" l="1"/>
  <c r="L51" i="53"/>
  <c r="F55" i="47"/>
  <c r="H55" i="47" s="1"/>
  <c r="C55" i="84" s="1"/>
  <c r="D56" i="47"/>
  <c r="D57" i="47" l="1"/>
  <c r="F56" i="47"/>
  <c r="H56" i="47" s="1"/>
  <c r="C56" i="84" s="1"/>
  <c r="B49" i="88"/>
  <c r="L52" i="53"/>
  <c r="B50" i="88" l="1"/>
  <c r="L53" i="53"/>
  <c r="F57" i="47"/>
  <c r="H57" i="47" s="1"/>
  <c r="C57" i="84" s="1"/>
  <c r="D58" i="47"/>
  <c r="D59" i="47" l="1"/>
  <c r="F58" i="47"/>
  <c r="H58" i="47" s="1"/>
  <c r="C58" i="84" s="1"/>
  <c r="B51" i="88"/>
  <c r="L54" i="53"/>
  <c r="B52" i="88" l="1"/>
  <c r="L55" i="53"/>
  <c r="F59" i="47"/>
  <c r="H59" i="47" s="1"/>
  <c r="C59" i="84" s="1"/>
  <c r="D60" i="47"/>
  <c r="D61" i="47" l="1"/>
  <c r="F61" i="47" s="1"/>
  <c r="H61" i="47" s="1"/>
  <c r="C61" i="84" s="1"/>
  <c r="F60" i="47"/>
  <c r="H60" i="47" s="1"/>
  <c r="C60" i="84" s="1"/>
  <c r="B53" i="88"/>
  <c r="L56" i="53"/>
  <c r="B54" i="88" l="1"/>
  <c r="L57" i="53"/>
  <c r="B55" i="88" l="1"/>
  <c r="L58" i="53"/>
  <c r="B56" i="88" l="1"/>
  <c r="L59" i="53"/>
  <c r="B57" i="88" l="1"/>
  <c r="L60" i="53"/>
  <c r="B58" i="88" s="1"/>
  <c r="AB71" i="3"/>
</calcChain>
</file>

<file path=xl/comments1.xml><?xml version="1.0" encoding="utf-8"?>
<comments xmlns="http://schemas.openxmlformats.org/spreadsheetml/2006/main">
  <authors>
    <author>Carlos Javier Charotti Ramirez</author>
  </authors>
  <commentList>
    <comment ref="J3" authorId="0" shapeId="0">
      <text>
        <r>
          <rPr>
            <b/>
            <sz val="9"/>
            <color rgb="FF000000"/>
            <rFont val="Tahoma"/>
            <family val="2"/>
          </rPr>
          <t>Carlos Javier Charotti Ramirez:</t>
        </r>
        <r>
          <rPr>
            <sz val="9"/>
            <color rgb="FF000000"/>
            <rFont val="Tahoma"/>
            <family val="2"/>
          </rPr>
          <t xml:space="preserve">
lineal trend</t>
        </r>
      </text>
    </comment>
  </commentList>
</comments>
</file>

<file path=xl/comments2.xml><?xml version="1.0" encoding="utf-8"?>
<comments xmlns="http://schemas.openxmlformats.org/spreadsheetml/2006/main">
  <authors>
    <author>User</author>
    <author>operador</author>
  </authors>
  <commentList>
    <comment ref="Y12" authorId="0" shapeId="0">
      <text>
        <r>
          <rPr>
            <b/>
            <sz val="9"/>
            <color indexed="81"/>
            <rFont val="Tahoma"/>
            <family val="2"/>
          </rPr>
          <t>590</t>
        </r>
      </text>
    </comment>
    <comment ref="M14" authorId="0" shapeId="0">
      <text>
        <r>
          <rPr>
            <b/>
            <sz val="9"/>
            <color indexed="81"/>
            <rFont val="Tahoma"/>
            <family val="2"/>
          </rPr>
          <t xml:space="preserve">VERIFICAR
</t>
        </r>
      </text>
    </comment>
    <comment ref="N14" authorId="0" shapeId="0">
      <text>
        <r>
          <rPr>
            <b/>
            <sz val="9"/>
            <color indexed="81"/>
            <rFont val="Tahoma"/>
            <family val="2"/>
          </rPr>
          <t>VERIFICAR</t>
        </r>
      </text>
    </comment>
    <comment ref="O14" authorId="0" shapeId="0">
      <text>
        <r>
          <rPr>
            <b/>
            <sz val="9"/>
            <color indexed="81"/>
            <rFont val="Tahoma"/>
            <family val="2"/>
          </rPr>
          <t>VERIFICAR</t>
        </r>
      </text>
    </comment>
    <comment ref="R19" authorId="1" shapeId="0">
      <text>
        <r>
          <rPr>
            <b/>
            <sz val="9"/>
            <color indexed="81"/>
            <rFont val="Tahoma"/>
            <family val="2"/>
          </rPr>
          <t>Verificar si no es negativo</t>
        </r>
      </text>
    </comment>
  </commentList>
</comments>
</file>

<file path=xl/comments3.xml><?xml version="1.0" encoding="utf-8"?>
<comments xmlns="http://schemas.openxmlformats.org/spreadsheetml/2006/main">
  <authors>
    <author>operador</author>
  </authors>
  <commentList>
    <comment ref="F25" authorId="0" shapeId="0">
      <text>
        <r>
          <rPr>
            <b/>
            <sz val="9"/>
            <color indexed="81"/>
            <rFont val="Tahoma"/>
            <family val="2"/>
          </rPr>
          <t xml:space="preserve">PARECE QUE ESTA NETEADO
</t>
        </r>
      </text>
    </comment>
  </commentList>
</comments>
</file>

<file path=xl/comments4.xml><?xml version="1.0" encoding="utf-8"?>
<comments xmlns="http://schemas.openxmlformats.org/spreadsheetml/2006/main">
  <authors>
    <author>operador</author>
  </authors>
  <commentList>
    <comment ref="P3" authorId="0" shapeId="0">
      <text>
        <r>
          <rPr>
            <b/>
            <sz val="9"/>
            <color indexed="81"/>
            <rFont val="Tahoma"/>
            <family val="2"/>
          </rPr>
          <t>Está multiplicado por -1</t>
        </r>
      </text>
    </comment>
    <comment ref="M4" authorId="0" shapeId="0">
      <text>
        <r>
          <rPr>
            <b/>
            <sz val="9"/>
            <color indexed="81"/>
            <rFont val="Tahoma"/>
            <family val="2"/>
          </rPr>
          <t>Oficiales y Bancarios...</t>
        </r>
      </text>
    </comment>
    <comment ref="M5" authorId="0" shapeId="0">
      <text>
        <r>
          <rPr>
            <b/>
            <sz val="9"/>
            <color indexed="81"/>
            <rFont val="Tahoma"/>
            <family val="2"/>
          </rPr>
          <t>Oficiales y Bancarios...</t>
        </r>
      </text>
    </comment>
    <comment ref="M6" authorId="0" shapeId="0">
      <text>
        <r>
          <rPr>
            <b/>
            <sz val="9"/>
            <color indexed="81"/>
            <rFont val="Tahoma"/>
            <family val="2"/>
          </rPr>
          <t>Oficiales y Bancarios...</t>
        </r>
      </text>
    </comment>
    <comment ref="M7" authorId="0" shapeId="0">
      <text>
        <r>
          <rPr>
            <b/>
            <sz val="9"/>
            <color indexed="81"/>
            <rFont val="Tahoma"/>
            <family val="2"/>
          </rPr>
          <t>Oficiales y Bancarios...</t>
        </r>
      </text>
    </comment>
    <comment ref="M8" authorId="0" shapeId="0">
      <text>
        <r>
          <rPr>
            <b/>
            <sz val="9"/>
            <color indexed="81"/>
            <rFont val="Tahoma"/>
            <family val="2"/>
          </rPr>
          <t>Oficiales y Bancarios...</t>
        </r>
      </text>
    </comment>
    <comment ref="M9" authorId="0" shapeId="0">
      <text>
        <r>
          <rPr>
            <b/>
            <sz val="9"/>
            <color indexed="81"/>
            <rFont val="Tahoma"/>
            <family val="2"/>
          </rPr>
          <t>Oficiales y Bancarios...</t>
        </r>
      </text>
    </comment>
    <comment ref="D30" authorId="0" shapeId="0">
      <text>
        <r>
          <rPr>
            <b/>
            <sz val="9"/>
            <color indexed="81"/>
            <rFont val="Tahoma"/>
            <family val="2"/>
          </rPr>
          <t>No coincide con los 527 millones que dice el documento</t>
        </r>
      </text>
    </comment>
    <comment ref="D33" authorId="0" shapeId="0">
      <text>
        <r>
          <rPr>
            <b/>
            <sz val="9"/>
            <color indexed="81"/>
            <rFont val="Tahoma"/>
            <family val="2"/>
          </rPr>
          <t>Hay un cambio en la metodologia de las Balanzas</t>
        </r>
      </text>
    </comment>
  </commentList>
</comments>
</file>

<file path=xl/comments5.xml><?xml version="1.0" encoding="utf-8"?>
<comments xmlns="http://schemas.openxmlformats.org/spreadsheetml/2006/main">
  <authors>
    <author>operador</author>
  </authors>
  <commentList>
    <comment ref="CE2" authorId="0" shapeId="0">
      <text>
        <r>
          <rPr>
            <b/>
            <sz val="9"/>
            <color indexed="81"/>
            <rFont val="Tahoma"/>
            <family val="2"/>
          </rPr>
          <t>Está multiplicado por -1</t>
        </r>
      </text>
    </comment>
    <comment ref="CF2" authorId="0" shapeId="0">
      <text>
        <r>
          <rPr>
            <b/>
            <sz val="9"/>
            <color indexed="81"/>
            <rFont val="Tahoma"/>
            <family val="2"/>
          </rPr>
          <t>Chicago</t>
        </r>
      </text>
    </comment>
    <comment ref="CG2" authorId="0" shapeId="0">
      <text>
        <r>
          <rPr>
            <b/>
            <sz val="9"/>
            <color indexed="81"/>
            <rFont val="Tahoma"/>
            <family val="2"/>
          </rPr>
          <t>New York</t>
        </r>
      </text>
    </comment>
    <comment ref="CH2" authorId="0" shapeId="0">
      <text>
        <r>
          <rPr>
            <b/>
            <sz val="9"/>
            <color indexed="81"/>
            <rFont val="Tahoma"/>
            <family val="2"/>
          </rPr>
          <t>Chicago</t>
        </r>
      </text>
    </comment>
    <comment ref="CI2" authorId="0" shapeId="0">
      <text>
        <r>
          <rPr>
            <b/>
            <sz val="9"/>
            <color indexed="81"/>
            <rFont val="Tahoma"/>
            <family val="2"/>
          </rPr>
          <t>Chicago</t>
        </r>
      </text>
    </comment>
    <comment ref="CJ2" authorId="0" shapeId="0">
      <text>
        <r>
          <rPr>
            <b/>
            <sz val="9"/>
            <color indexed="81"/>
            <rFont val="Tahoma"/>
            <family val="2"/>
          </rPr>
          <t>Australia</t>
        </r>
      </text>
    </comment>
    <comment ref="CK2" authorId="0" shapeId="0">
      <text>
        <r>
          <rPr>
            <b/>
            <sz val="9"/>
            <color indexed="81"/>
            <rFont val="Tahoma"/>
            <family val="2"/>
          </rPr>
          <t>Sudáfrica</t>
        </r>
      </text>
    </comment>
    <comment ref="CL2" authorId="0" shapeId="0">
      <text>
        <r>
          <rPr>
            <b/>
            <sz val="9"/>
            <color indexed="81"/>
            <rFont val="Tahoma"/>
            <family val="2"/>
          </rPr>
          <t>Tailandia</t>
        </r>
      </text>
    </comment>
    <comment ref="CM2" authorId="0" shapeId="0">
      <text>
        <r>
          <rPr>
            <b/>
            <sz val="9"/>
            <color indexed="81"/>
            <rFont val="Tahoma"/>
            <family val="2"/>
          </rPr>
          <t>New York</t>
        </r>
      </text>
    </comment>
    <comment ref="CN2" authorId="0" shapeId="0">
      <text>
        <r>
          <rPr>
            <b/>
            <sz val="9"/>
            <color indexed="81"/>
            <rFont val="Tahoma"/>
            <family val="2"/>
          </rPr>
          <t>New York</t>
        </r>
      </text>
    </comment>
    <comment ref="CB3" authorId="0" shapeId="0">
      <text>
        <r>
          <rPr>
            <b/>
            <sz val="9"/>
            <color indexed="81"/>
            <rFont val="Tahoma"/>
            <family val="2"/>
          </rPr>
          <t>Oficiales y Bancarios...</t>
        </r>
      </text>
    </comment>
    <comment ref="CB4" authorId="0" shapeId="0">
      <text>
        <r>
          <rPr>
            <b/>
            <sz val="9"/>
            <color indexed="81"/>
            <rFont val="Tahoma"/>
            <family val="2"/>
          </rPr>
          <t>Oficiales y Bancarios...</t>
        </r>
      </text>
    </comment>
    <comment ref="CB5" authorId="0" shapeId="0">
      <text>
        <r>
          <rPr>
            <b/>
            <sz val="9"/>
            <color indexed="81"/>
            <rFont val="Tahoma"/>
            <family val="2"/>
          </rPr>
          <t>Oficiales y Bancarios...</t>
        </r>
      </text>
    </comment>
    <comment ref="CB6" authorId="0" shapeId="0">
      <text>
        <r>
          <rPr>
            <b/>
            <sz val="9"/>
            <color indexed="81"/>
            <rFont val="Tahoma"/>
            <family val="2"/>
          </rPr>
          <t>Oficiales y Bancarios...</t>
        </r>
      </text>
    </comment>
    <comment ref="CB7" authorId="0" shapeId="0">
      <text>
        <r>
          <rPr>
            <b/>
            <sz val="9"/>
            <color indexed="81"/>
            <rFont val="Tahoma"/>
            <family val="2"/>
          </rPr>
          <t>Oficiales y Bancarios...</t>
        </r>
      </text>
    </comment>
    <comment ref="CB8" authorId="0" shapeId="0">
      <text>
        <r>
          <rPr>
            <b/>
            <sz val="9"/>
            <color indexed="81"/>
            <rFont val="Tahoma"/>
            <family val="2"/>
          </rPr>
          <t>Oficiales y Bancarios...</t>
        </r>
      </text>
    </comment>
  </commentList>
</comments>
</file>

<file path=xl/comments6.xml><?xml version="1.0" encoding="utf-8"?>
<comments xmlns="http://schemas.openxmlformats.org/spreadsheetml/2006/main">
  <authors>
    <author>operador</author>
  </authors>
  <commentList>
    <comment ref="AF2" authorId="0" shapeId="0">
      <text>
        <r>
          <rPr>
            <b/>
            <sz val="9"/>
            <color indexed="81"/>
            <rFont val="Tahoma"/>
            <family val="2"/>
          </rPr>
          <t>Está multiplicado por -1</t>
        </r>
      </text>
    </comment>
    <comment ref="AC3" authorId="0" shapeId="0">
      <text>
        <r>
          <rPr>
            <b/>
            <sz val="9"/>
            <color indexed="81"/>
            <rFont val="Tahoma"/>
            <family val="2"/>
          </rPr>
          <t>Oficiales y Bancarios...</t>
        </r>
      </text>
    </comment>
    <comment ref="AC4" authorId="0" shapeId="0">
      <text>
        <r>
          <rPr>
            <b/>
            <sz val="9"/>
            <color indexed="81"/>
            <rFont val="Tahoma"/>
            <family val="2"/>
          </rPr>
          <t>Oficiales y Bancarios...</t>
        </r>
      </text>
    </comment>
    <comment ref="AC5" authorId="0" shapeId="0">
      <text>
        <r>
          <rPr>
            <b/>
            <sz val="9"/>
            <color indexed="81"/>
            <rFont val="Tahoma"/>
            <family val="2"/>
          </rPr>
          <t>Oficiales y Bancarios...</t>
        </r>
      </text>
    </comment>
    <comment ref="AC6" authorId="0" shapeId="0">
      <text>
        <r>
          <rPr>
            <b/>
            <sz val="9"/>
            <color indexed="81"/>
            <rFont val="Tahoma"/>
            <family val="2"/>
          </rPr>
          <t>Oficiales y Bancarios...</t>
        </r>
      </text>
    </comment>
    <comment ref="AC7" authorId="0" shapeId="0">
      <text>
        <r>
          <rPr>
            <b/>
            <sz val="9"/>
            <color indexed="81"/>
            <rFont val="Tahoma"/>
            <family val="2"/>
          </rPr>
          <t>Oficiales y Bancarios...</t>
        </r>
      </text>
    </comment>
    <comment ref="AC8" authorId="0" shapeId="0">
      <text>
        <r>
          <rPr>
            <b/>
            <sz val="9"/>
            <color indexed="81"/>
            <rFont val="Tahoma"/>
            <family val="2"/>
          </rPr>
          <t>Oficiales y Bancarios...</t>
        </r>
      </text>
    </comment>
    <comment ref="C25" authorId="0" shapeId="0">
      <text>
        <r>
          <rPr>
            <b/>
            <sz val="9"/>
            <color indexed="81"/>
            <rFont val="Tahoma"/>
            <family val="2"/>
          </rPr>
          <t>Disminuyo el Encaje Legal en 454 mill, y los depositos bancarios en 3023</t>
        </r>
      </text>
    </comment>
  </commentList>
</comments>
</file>

<file path=xl/comments7.xml><?xml version="1.0" encoding="utf-8"?>
<comments xmlns="http://schemas.openxmlformats.org/spreadsheetml/2006/main">
  <authors>
    <author>Gonzalez Soley F.M.</author>
  </authors>
  <commentList>
    <comment ref="E3" authorId="0" shapeId="0">
      <text>
        <r>
          <rPr>
            <b/>
            <sz val="9"/>
            <color indexed="81"/>
            <rFont val="Tahoma"/>
            <family val="2"/>
          </rPr>
          <t>Gonzalez Soley F.M.:</t>
        </r>
        <r>
          <rPr>
            <sz val="9"/>
            <color indexed="81"/>
            <rFont val="Tahoma"/>
            <family val="2"/>
          </rPr>
          <t xml:space="preserve">
incluye intereses de la deuda</t>
        </r>
      </text>
    </comment>
  </commentList>
</comments>
</file>

<file path=xl/comments8.xml><?xml version="1.0" encoding="utf-8"?>
<comments xmlns="http://schemas.openxmlformats.org/spreadsheetml/2006/main">
  <authors>
    <author>operador</author>
  </authors>
  <commentList>
    <comment ref="BW35" authorId="0" shapeId="0">
      <text>
        <r>
          <rPr>
            <b/>
            <sz val="9"/>
            <color indexed="81"/>
            <rFont val="Tahoma"/>
            <family val="2"/>
          </rPr>
          <t>Deuda con gob central pasa de 109 a 830</t>
        </r>
      </text>
    </comment>
  </commentList>
</comments>
</file>

<file path=xl/comments9.xml><?xml version="1.0" encoding="utf-8"?>
<comments xmlns="http://schemas.openxmlformats.org/spreadsheetml/2006/main">
  <authors>
    <author>operador</author>
  </authors>
  <commentList>
    <comment ref="C3" authorId="0" shapeId="0">
      <text>
        <r>
          <rPr>
            <b/>
            <sz val="9"/>
            <color indexed="81"/>
            <rFont val="Tahoma"/>
            <family val="2"/>
          </rPr>
          <t>Chicago</t>
        </r>
      </text>
    </comment>
    <comment ref="D3" authorId="0" shapeId="0">
      <text>
        <r>
          <rPr>
            <b/>
            <sz val="9"/>
            <color indexed="81"/>
            <rFont val="Tahoma"/>
            <family val="2"/>
          </rPr>
          <t>New York</t>
        </r>
      </text>
    </comment>
    <comment ref="E3" authorId="0" shapeId="0">
      <text>
        <r>
          <rPr>
            <b/>
            <sz val="9"/>
            <color indexed="81"/>
            <rFont val="Tahoma"/>
            <family val="2"/>
          </rPr>
          <t>Chicago</t>
        </r>
      </text>
    </comment>
    <comment ref="F3" authorId="0" shapeId="0">
      <text>
        <r>
          <rPr>
            <b/>
            <sz val="9"/>
            <color indexed="81"/>
            <rFont val="Tahoma"/>
            <family val="2"/>
          </rPr>
          <t>Chicago</t>
        </r>
      </text>
    </comment>
    <comment ref="G3" authorId="0" shapeId="0">
      <text>
        <r>
          <rPr>
            <b/>
            <sz val="9"/>
            <color indexed="81"/>
            <rFont val="Tahoma"/>
            <family val="2"/>
          </rPr>
          <t>Australia</t>
        </r>
      </text>
    </comment>
    <comment ref="H3" authorId="0" shapeId="0">
      <text>
        <r>
          <rPr>
            <b/>
            <sz val="9"/>
            <color indexed="81"/>
            <rFont val="Tahoma"/>
            <family val="2"/>
          </rPr>
          <t>Sudáfrica</t>
        </r>
      </text>
    </comment>
    <comment ref="I3" authorId="0" shapeId="0">
      <text>
        <r>
          <rPr>
            <b/>
            <sz val="9"/>
            <color indexed="81"/>
            <rFont val="Tahoma"/>
            <family val="2"/>
          </rPr>
          <t>Tailandia</t>
        </r>
      </text>
    </comment>
    <comment ref="J3" authorId="0" shapeId="0">
      <text>
        <r>
          <rPr>
            <b/>
            <sz val="9"/>
            <color indexed="81"/>
            <rFont val="Tahoma"/>
            <family val="2"/>
          </rPr>
          <t>New York</t>
        </r>
      </text>
    </comment>
    <comment ref="K3" authorId="0" shapeId="0">
      <text>
        <r>
          <rPr>
            <b/>
            <sz val="9"/>
            <color indexed="81"/>
            <rFont val="Tahoma"/>
            <family val="2"/>
          </rPr>
          <t>New York</t>
        </r>
      </text>
    </comment>
  </commentList>
</comments>
</file>

<file path=xl/sharedStrings.xml><?xml version="1.0" encoding="utf-8"?>
<sst xmlns="http://schemas.openxmlformats.org/spreadsheetml/2006/main" count="3171" uniqueCount="1378">
  <si>
    <t>Inflación</t>
  </si>
  <si>
    <t>IPC - USA</t>
  </si>
  <si>
    <t>Inflación – USA</t>
  </si>
  <si>
    <t xml:space="preserve">Impuesto a la Renta </t>
  </si>
  <si>
    <t xml:space="preserve">PIB nominal </t>
  </si>
  <si>
    <t xml:space="preserve">PIB Real </t>
  </si>
  <si>
    <t>Base Monetaria</t>
  </si>
  <si>
    <t>AÑO</t>
  </si>
  <si>
    <t>Boletín histórico del Bcp</t>
  </si>
  <si>
    <t>En miles de ₲ constantes*/ de 1994 (1961-2014)</t>
  </si>
  <si>
    <t>Anexo Estadístico</t>
  </si>
  <si>
    <t>Ingresos de Capital A.C.</t>
  </si>
  <si>
    <t>IPC base 2007</t>
  </si>
  <si>
    <t xml:space="preserve">Fuente desconocida </t>
  </si>
  <si>
    <t>M1</t>
  </si>
  <si>
    <t>Población Total</t>
  </si>
  <si>
    <t>1994-2014: Banco Central del Paraguay</t>
  </si>
  <si>
    <t xml:space="preserve">Ingresos Tributarios </t>
  </si>
  <si>
    <t>Ingresos Corrientes S.P.C.N.F.</t>
  </si>
  <si>
    <t>Ingresos Corrientes A.C.</t>
  </si>
  <si>
    <t>Gastos Corrientes S.P.C.N.F.</t>
  </si>
  <si>
    <t>Gastos Corrientes A.C.</t>
  </si>
  <si>
    <t xml:space="preserve"> Ingresos de Capital S.P.C.N.F.</t>
  </si>
  <si>
    <t>Gastos de Capital S.P.C.N.F.</t>
  </si>
  <si>
    <t>Gastos de Capital A.C.</t>
  </si>
  <si>
    <t>Ingresos No Tributarios - A.C.</t>
  </si>
  <si>
    <t>Otros Impuestos - A.C.</t>
  </si>
  <si>
    <t>IVA - A.C.</t>
  </si>
  <si>
    <t>Impuesto a la Renta - A.C.</t>
  </si>
  <si>
    <t>Ingresos Tributarios - A.C.</t>
  </si>
  <si>
    <t>Recursos Naturales - A.C.</t>
  </si>
  <si>
    <t>Millones de Gs. Corrientes</t>
  </si>
  <si>
    <t>Gasto de Consumo A.C.</t>
  </si>
  <si>
    <t>Transferencia Corriente A.C.</t>
  </si>
  <si>
    <t>Interes Deuda Interna A.C.</t>
  </si>
  <si>
    <t>Interes Deuda Externa A.C.</t>
  </si>
  <si>
    <t>Gasto de Inversión Física A.C.</t>
  </si>
  <si>
    <t>Déficit (-)  Superávit (+) S.P.C.N.F.</t>
  </si>
  <si>
    <t>Déficit (-) Superávit (+) A.C.</t>
  </si>
  <si>
    <t>Financiamiento Recursos Externos Neto A.C.</t>
  </si>
  <si>
    <t>Financiamiento Recursos Externos Neto S.P.C.N.F.</t>
  </si>
  <si>
    <t>Desembolso de Préstamos A.C.</t>
  </si>
  <si>
    <t>Amortizaciones contractuales A.C.</t>
  </si>
  <si>
    <t>Financiamiento Recursos Internos Neto A.C.</t>
  </si>
  <si>
    <t>Financiamiento Recursos Internos Neto S.P.C.N.F.</t>
  </si>
  <si>
    <t>Amortizacion por Bonos del Tesoro Nacional A.C.</t>
  </si>
  <si>
    <t>Emisión de Bonos del Tesoro Nacional A.C.</t>
  </si>
  <si>
    <t>PIB U$S</t>
  </si>
  <si>
    <t>Reservas Internacionales Netas</t>
  </si>
  <si>
    <t>Millones de USD</t>
  </si>
  <si>
    <t>Balance de la Administración Central</t>
  </si>
  <si>
    <t>Balance Consolidado de las Empresas Públicas</t>
  </si>
  <si>
    <t>Variacion de Disponibilidades SP</t>
  </si>
  <si>
    <t>/1</t>
  </si>
  <si>
    <t>Desde 1991 a 1998 el Financiamiento Interno incluye la Variación de los Depósitos</t>
  </si>
  <si>
    <t>/2</t>
  </si>
  <si>
    <t>Cifras Preliminares</t>
  </si>
  <si>
    <t>/3</t>
  </si>
  <si>
    <t>Los años 2001 y 2003 al 2014 incluyen la Deuda Flotante Dentro del Financiamiento Interno</t>
  </si>
  <si>
    <t>1962-1969</t>
  </si>
  <si>
    <t>1970-1978</t>
  </si>
  <si>
    <t>1980-1989</t>
  </si>
  <si>
    <t>1990-2014</t>
  </si>
  <si>
    <t>IVA</t>
  </si>
  <si>
    <t>Otros Impuestos</t>
  </si>
  <si>
    <t>Ingresos No Tributarios</t>
  </si>
  <si>
    <t>Recursos Naturales</t>
  </si>
  <si>
    <t>Poder Legislativo (Cámara de Senadores y Cámara de Diputados), Poder Ejecutivo (Presidencia de la República, Ministerio del Interior, Ministerio de Relaciones Exteriores, Ministerio de Hacienda, Ministerio de Educación y Culto, Ministerio de Agricultura y Ganadería, Ministerio de Obras Públicas y Comunicaciones, Ministerio de Defensa Nacional, Ministerio de Salud Pública y Bienestar Social, Ministerio de Justicia y Trabajo, Ministerio de Industria y Comercio, Ministerio sin Cartera, Consejo de Estado) y Poder Judicial.</t>
  </si>
  <si>
    <t>Poder Legislativo (Cámara de Senadores y Cámara de Diputados), Poder Ejecutivo (Presidencia de la República, Consejo  de Estado y once  Ministerios).</t>
  </si>
  <si>
    <t>Sector Real</t>
  </si>
  <si>
    <t>Sector Externo</t>
  </si>
  <si>
    <t>Panorama Monetario - Pasivos</t>
  </si>
  <si>
    <t>Ingresos Corrientes E.P.</t>
  </si>
  <si>
    <t>Gastos Corrientes E.P.</t>
  </si>
  <si>
    <t>Ahorro en Cuenta Corriente E.P.</t>
  </si>
  <si>
    <t xml:space="preserve"> Ingresos de Capital E.P.</t>
  </si>
  <si>
    <t>Gastos de Capital E.P.</t>
  </si>
  <si>
    <t>Déficit (-)  Superávit (+) E.P.</t>
  </si>
  <si>
    <t>Financiamiento Recursos Externos Neto E.P.</t>
  </si>
  <si>
    <t>Financiamiento Recursos Internos Neto E.P.</t>
  </si>
  <si>
    <t>Variación de Disponibilidades E.P.</t>
  </si>
  <si>
    <t>1990/1</t>
  </si>
  <si>
    <t>1998/2</t>
  </si>
  <si>
    <t>Los años 2001 y 2003 al 2014 incluyen la Deuda Flotante dentro del Financiamiento Interno</t>
  </si>
  <si>
    <t>Empresas Públicas:</t>
  </si>
  <si>
    <t>Líneas Aéreas Paraguayas, Líneas Aéreas de Transporte Nacional, Administración Nacional de Aeropuertos Civiles, Transporte Aéreo Militar, Flota Mercante del Estado, Administración Nacional de Navegación y Puentes, Ferrocarril Carlos Antonio López, Administración de Transporte Eléctrico, Administración Nacional de Telecomunicaciones, Administración Nacional de Electricidad, Corporación de Obras Sanitarias, Corporación Paraguaya de Carne, Administración Nacional de Alcoholes.</t>
  </si>
  <si>
    <t>Líneas Aéreas Paraguayas (LAP), Líneas Aéreas de Transporte Nacional (LATN), Administración Nacional de Aeropuertos Civiles (ANAC), Transporte Aéreo Militar (TAM), Flota Mercante del Estado (FME), Administración Nacional de Navegación y Puentes (ANNP), Ferrocarril Carlos Antonio López (FCAL), Administración Nacional de Telecomunicaciones (ANTELCO), Administración Nacional de Electricidad (ANDE), Corporación de Obras Sanitarias (CORPOSANA), Administración Nacional de Alcoholes (APAL), Industria Nacional de Cemento (INC), Servicio de Abastecimiento de Carnes (SAC), Siderúrgica Paraguaya (SIDEPAR)</t>
  </si>
  <si>
    <t>Líneas Aéreas Paraguayas (LAP), Líneas Aéreas de Transporte Nacional (LATN), Administración Nacional de Aeropuertos Civiles (ANAC), Flota Mercante del Estado (FLOMERES), Ferrocarril Carlos Antonio López (FCAL), Administración Nacional de Navegación y Puentes (ANNP), Administración Nacional de Telecomunicaciones (ANTELCO), Administración Nacional de Electricidad (ANDE), Corporación de Obras Sanitarias (CORPOSANA), Aceros del Paraguay (ACEPAR), Pretóleos Paraguayos (PETROPAR), Administración Nacional de Alcoholes (APAL), Industria Nacional de Cemento (INC).</t>
  </si>
  <si>
    <t>Año</t>
  </si>
  <si>
    <t xml:space="preserve">M0 </t>
  </si>
  <si>
    <t>Composición:</t>
  </si>
  <si>
    <r>
      <rPr>
        <b/>
        <sz val="8"/>
        <color theme="1"/>
        <rFont val="Calibri"/>
        <family val="2"/>
        <scheme val="minor"/>
      </rPr>
      <t xml:space="preserve">Administración Central: </t>
    </r>
    <r>
      <rPr>
        <sz val="8"/>
        <color theme="1"/>
        <rFont val="Calibri"/>
        <family val="2"/>
        <scheme val="minor"/>
      </rPr>
      <t xml:space="preserve">Poder Legislativo (Cámara de Senadores y Cámara de Diputados), Poder Ejecutivo (Presidencia de la República, Ministerio del Interior, Ministerio de Relaciones Exteriores, Ministerio de Hacienda, Ministerio de Educación y Culto, Ministerio de Agricultura y Ganadería, Ministerio de Obras Públicas y Comunicaciones, Ministerio de Defensa Nacional, Ministerio de Salud Pública y Bienestar Social, Ministerio de Justicia y Trabajo, Ministerio de Industria y Comercio, Ministerio sin Cartera, Consejo de Estado) y Poder Judicial; </t>
    </r>
    <r>
      <rPr>
        <b/>
        <sz val="8"/>
        <color theme="1"/>
        <rFont val="Calibri"/>
        <family val="2"/>
        <scheme val="minor"/>
      </rPr>
      <t xml:space="preserve">Entidades Descentralizadas: </t>
    </r>
    <r>
      <rPr>
        <sz val="8"/>
        <color theme="1"/>
        <rFont val="Calibri"/>
        <family val="2"/>
        <scheme val="minor"/>
      </rPr>
      <t xml:space="preserve">Crédito Agrícola de Habilitación, Insituto de Bienestar Rural, Universidad Nacional de Asunción, Jusnta Vial de la Capital, Junta Vial Regional, Dirección General de Juntas Viales, Comisión Mixta Paraguaya Brasileña, Com. Administración Pto. Pte. Stroessner, Caja de Préstamo MInisterio de Defensa, Caja Bancarios, Caja Ferroviarios, Instituto de Previsión Social, Instituto Paraguayo de Vivienda y Urbanismo, Instituto Nacional de Tecnología y Normalización, Servicio Nacional Lucha Fiebre Aftosa; </t>
    </r>
    <r>
      <rPr>
        <b/>
        <sz val="8"/>
        <color theme="1"/>
        <rFont val="Calibri"/>
        <family val="2"/>
        <scheme val="minor"/>
      </rPr>
      <t>Municipalidades:</t>
    </r>
    <r>
      <rPr>
        <sz val="8"/>
        <color theme="1"/>
        <rFont val="Calibri"/>
        <family val="2"/>
        <scheme val="minor"/>
      </rPr>
      <t xml:space="preserve"> de la Capital y 154 Munipalidades del interior; </t>
    </r>
    <r>
      <rPr>
        <b/>
        <sz val="8"/>
        <color theme="1"/>
        <rFont val="Calibri"/>
        <family val="2"/>
        <scheme val="minor"/>
      </rPr>
      <t>Empresas Públicas:</t>
    </r>
    <r>
      <rPr>
        <sz val="8"/>
        <color theme="1"/>
        <rFont val="Calibri"/>
        <family val="2"/>
        <scheme val="minor"/>
      </rPr>
      <t xml:space="preserve"> Líneas Aéreas Paraguayas, Líneas Aéreas de Transporte Nacional, Administración Nacional de Aeropuertos Civiles, Transporte Aéreo Militar, Flota Mercante del Estado, Administración Nacional de Navegación y Puentes, Ferrocarril Carlos Antonio López, Administración de Transporte Eléctrico, Administración Nacional de Telecomunicaciones, Administración Nacional de Electricidad, Corporación de Obras Sanitarias, Corporación Paraguaya de Carne, Administración Nacional de Alcoholes.</t>
    </r>
  </si>
  <si>
    <r>
      <rPr>
        <b/>
        <sz val="8"/>
        <color theme="1"/>
        <rFont val="Calibri"/>
        <family val="2"/>
        <scheme val="minor"/>
      </rPr>
      <t>Administración Central:</t>
    </r>
    <r>
      <rPr>
        <sz val="8"/>
        <color theme="1"/>
        <rFont val="Calibri"/>
        <family val="2"/>
        <scheme val="minor"/>
      </rPr>
      <t xml:space="preserve"> Poder Legislativo (Cámara de Senadores y Cámara de Diputados), Poder Ejecutivo (Presidencia de la República, Ministerio del Interior, Ministerio de Relaciones Exteriores, Ministerio de Hacienda, Ministerio de Educación y Culto, Ministerio de Agricultura y Ganadería, Ministerio de Obras Públicas y Comunicaciones, Ministerio de Defensa Nacional, Ministerio de Salud Pública y Bienestar Social, Ministerio de Justicia y Trabajo, Ministerio de Industria y Comercio, Ministerio sin Cartera, Consejo de Estado) y Poder Judicial; </t>
    </r>
    <r>
      <rPr>
        <b/>
        <sz val="8"/>
        <color theme="1"/>
        <rFont val="Calibri"/>
        <family val="2"/>
        <scheme val="minor"/>
      </rPr>
      <t>Entidades Descentralizadas:</t>
    </r>
    <r>
      <rPr>
        <sz val="8"/>
        <color theme="1"/>
        <rFont val="Calibri"/>
        <family val="2"/>
        <scheme val="minor"/>
      </rPr>
      <t xml:space="preserve"> Crédito Agrícola de Habilitación, Insituto de Bienestar Rural, Universidad Nacional de Asunción, Jusnta Vial de la Capital*, Junta Vial Regional*, Dirección General de Juntas Viales*, Caja Préstamo Ministerio de Defensa, Caja de Jubilaciones y Prensiones de Empleados Bancarios, Caja de Jubilaciones y Prensiones de Empleados y Obreros Ferroviarios, Instituto de Previsión Social, Instituto Paraguayo de Vivienda y Urbanismo, Instituto Nacional de Tecnología y Normalización, Servicio Nacional Lucha Fiebre Aftosa, Caja de Jubilaciones y prensiones del Personal de la ANDE, Instituto de Desarrollo Municipal; </t>
    </r>
    <r>
      <rPr>
        <b/>
        <sz val="8"/>
        <color theme="1"/>
        <rFont val="Calibri"/>
        <family val="2"/>
        <scheme val="minor"/>
      </rPr>
      <t>Municipalidades:</t>
    </r>
    <r>
      <rPr>
        <sz val="8"/>
        <color theme="1"/>
        <rFont val="Calibri"/>
        <family val="2"/>
        <scheme val="minor"/>
      </rPr>
      <t xml:space="preserve"> de la Capital y 181 Munipalidades del interior; </t>
    </r>
    <r>
      <rPr>
        <b/>
        <sz val="8"/>
        <color theme="1"/>
        <rFont val="Calibri"/>
        <family val="2"/>
        <scheme val="minor"/>
      </rPr>
      <t>Empresas Públicas:</t>
    </r>
    <r>
      <rPr>
        <sz val="8"/>
        <color theme="1"/>
        <rFont val="Calibri"/>
        <family val="2"/>
        <scheme val="minor"/>
      </rPr>
      <t xml:space="preserve"> Líneas Aéreas Paraguayas (LAP), Líneas Aéreas de Transporte Nacional (LATN), Administración Nacional de Aeropuertos Civiles (ANAC), Transporte Aéreo Militar (TAM), Flota Mercante del Estado (FME), Administración Nacional de Navegación y Puentes (ANNP), Ferrocarril Carlos Antonio López (FCAL), Administración Nacional de Telecomunicaciones (ANTELCO), Administración Nacional de Electricidad (ANDE), Corporación de Obras Sanitarias (CORPOSANA), Administración Nacional de Alcoholes (APAL), Industria Nacional de Cemento (INC), Servicio de Abastecimiento de Carnes (SAC), Siderúrgica Paraguaya (SIDEPAR).</t>
    </r>
  </si>
  <si>
    <r>
      <rPr>
        <b/>
        <sz val="8"/>
        <color theme="1"/>
        <rFont val="Calibri"/>
        <family val="2"/>
        <scheme val="minor"/>
      </rPr>
      <t>Administración Central</t>
    </r>
    <r>
      <rPr>
        <sz val="8"/>
        <color theme="1"/>
        <rFont val="Calibri"/>
        <family val="2"/>
        <scheme val="minor"/>
      </rPr>
      <t xml:space="preserve">:Poder Legislativo (Cámara de Senadores y Cámara de Diputados), Poder Ejecutivo (Presidencia de la República, Consejo  de Estado y 
once  Ministerios); </t>
    </r>
    <r>
      <rPr>
        <b/>
        <sz val="8"/>
        <color theme="1"/>
        <rFont val="Calibri"/>
        <family val="2"/>
        <scheme val="minor"/>
      </rPr>
      <t xml:space="preserve">Fondo de Seguridad  Social: </t>
    </r>
    <r>
      <rPr>
        <sz val="8"/>
        <color theme="1"/>
        <rFont val="Calibri"/>
        <family val="2"/>
        <scheme val="minor"/>
      </rPr>
      <t xml:space="preserve">Instituto  de Previsión Social (IPS), Caja  Municipal de Préstamos (CM), Caja de Jubilaciones  y  Pensiones del  Personal Municipal  (CPM), Caja  de Préstamos del Ministerio de Defensa  (CMD), Caja de Jubilaciones y Pensiones de Empleados Bancarios (CB), Caja de Jubilaciones y Pensiones de Obreros Ferroviarios (CF), Caja de ANDE (CA), Dirección de Beneficiencia Social (DIBEN); </t>
    </r>
    <r>
      <rPr>
        <b/>
        <sz val="8"/>
        <color theme="1"/>
        <rFont val="Calibri"/>
        <family val="2"/>
        <scheme val="minor"/>
      </rPr>
      <t xml:space="preserve">Entidades Descentralizadas: </t>
    </r>
    <r>
      <rPr>
        <sz val="8"/>
        <color theme="1"/>
        <rFont val="Calibri"/>
        <family val="2"/>
        <scheme val="minor"/>
      </rPr>
      <t xml:space="preserve">Crédito Agrícola de Habilitación, Insituto de Bienestar Rural, Universidad Nacional de Asunción, Instituto de Desarrollo Municipal (IDM), Servicio Nacional de Salud Animal (SENACSA), Servicio de Saneamiento Ambiental (SENASA), Instituto Nacional de Tecnología y Normalización, Dirección de Colonización Militar (DCM), Insituto Paraguayo del Indígena (INDI); </t>
    </r>
    <r>
      <rPr>
        <b/>
        <sz val="8"/>
        <color theme="1"/>
        <rFont val="Calibri"/>
        <family val="2"/>
        <scheme val="minor"/>
      </rPr>
      <t xml:space="preserve">Municipalidades: </t>
    </r>
    <r>
      <rPr>
        <sz val="8"/>
        <color theme="1"/>
        <rFont val="Calibri"/>
        <family val="2"/>
        <scheme val="minor"/>
      </rPr>
      <t xml:space="preserve">de la capital y 205 Municipalidades del Interior; </t>
    </r>
    <r>
      <rPr>
        <b/>
        <sz val="8"/>
        <color theme="1"/>
        <rFont val="Calibri"/>
        <family val="2"/>
        <scheme val="minor"/>
      </rPr>
      <t xml:space="preserve">Empresas Públicas: </t>
    </r>
    <r>
      <rPr>
        <sz val="8"/>
        <color theme="1"/>
        <rFont val="Calibri"/>
        <family val="2"/>
        <scheme val="minor"/>
      </rPr>
      <t>Líneas Aéreas Paraguayas (LAP), Líneas Aéreas de Transporte Nacional (LATN), Administración Nacional de Aeropuertos Civiles (ANAC), Flota Mercante del Estado (FLOMERES), Ferrocarril Carlos Antonio López (FCAL), Administración Nacional de Navegación y Puentes (ANNP), Administración Nacional de Telecomunicaciones (ANTELCO), Administración Nacional de Electricidad (ANDE), Corporación de Obras Sanitarias (CORPOSANA), Aceros del Paraguay (ACEPAR), Pretóleos Paraguayos (PETROPAR), Administración Nacional de Alcoholes (APAL), Industria Nacional de Cemento (INC).</t>
    </r>
  </si>
  <si>
    <t>2001/3</t>
  </si>
  <si>
    <t>Balance del Sector Público Consolidado No Financiero</t>
  </si>
  <si>
    <t>Interés de la Deuda Interna A.C.</t>
  </si>
  <si>
    <t>Interés de la Deuda Externa A.C.</t>
  </si>
  <si>
    <t>Gasto en Inversión Física A.C.</t>
  </si>
  <si>
    <t>Déficit (-)  Superávit (+) A.C.</t>
  </si>
  <si>
    <t>Financiamiento Interno Neto A.C.</t>
  </si>
  <si>
    <t>Emision de Bonos del Tesoro Nacional</t>
  </si>
  <si>
    <t>Amortizacion Por Bonos del Tesoro Nacional</t>
  </si>
  <si>
    <t>Financiamiento Externo Neto A.C.</t>
  </si>
  <si>
    <t>Amortizaciones Contractuales A.C.</t>
  </si>
  <si>
    <t>Desembolsos de Préstamos A.C.</t>
  </si>
  <si>
    <t>Variación de Disponibilidades (+/-) A.C.</t>
  </si>
  <si>
    <t>Millones de Gs. a Precios de Comprador</t>
  </si>
  <si>
    <t>Millones de USD Corrientes, a Precio de Comprador</t>
  </si>
  <si>
    <t>Reservas Bancarias</t>
  </si>
  <si>
    <t>-</t>
  </si>
  <si>
    <t>Instrumentos de Regulación Monetaria 1/</t>
  </si>
  <si>
    <t>Deuda Pública Externa 1/</t>
  </si>
  <si>
    <t>Milllones de Gs. a Precios de Comprador</t>
  </si>
  <si>
    <t>Índice de Precios al Consumidor</t>
  </si>
  <si>
    <t>Saldo de la Deuda Pública Externa</t>
  </si>
  <si>
    <t>Servicio de la Deuda de la - Amortización de Capital</t>
  </si>
  <si>
    <t>Servicio de la Deuda de la - Intereses</t>
  </si>
  <si>
    <t>Balanza de Pagos Cuenta Corriente *</t>
  </si>
  <si>
    <t>*Considerando como No Residente a las Binacionales (Yacyreta e Itaipú)</t>
  </si>
  <si>
    <t>Saldo de la Deuda Pública Externa de S.P.</t>
  </si>
  <si>
    <t>Servicio de la Deuda de la S.P. - Amortización de Capital</t>
  </si>
  <si>
    <t>Servicio de la Deuda de la S.P. - Intereses</t>
  </si>
  <si>
    <t>Activos Internacionales Netos del BCP</t>
  </si>
  <si>
    <t>BCP Crédito Neto al Gobierno General</t>
  </si>
  <si>
    <t>Activos Internos Netos - Crédito Neto al Resto del S.P.</t>
  </si>
  <si>
    <t>Millones de Gs.</t>
  </si>
  <si>
    <t>Unidad de Medida</t>
  </si>
  <si>
    <t>Fuente</t>
  </si>
  <si>
    <t>Obs.</t>
  </si>
  <si>
    <t>Variable</t>
  </si>
  <si>
    <t>Empresas Públicas</t>
  </si>
  <si>
    <t>Administración Central</t>
  </si>
  <si>
    <t>Sector Público No Financiero</t>
  </si>
  <si>
    <t>Variación de Disponibilidades S.P.C.N.F.</t>
  </si>
  <si>
    <t>Deuda Pública Externa</t>
  </si>
  <si>
    <t>Balance Monetario</t>
  </si>
  <si>
    <t>Indicadores Sociales</t>
  </si>
  <si>
    <t>Variación de Disponibilidades (+/-) S.P.C.N.F.</t>
  </si>
  <si>
    <t>Banco Central del Paraguay</t>
  </si>
  <si>
    <t>Secretaría Técnica de Planificación, Ministerio de Hacienda</t>
  </si>
  <si>
    <t xml:space="preserve">• STP. Diagnóstico del Sector Público (Período 1960-1969). 1970. Asunción.
• STP. Evolución de las Finanzas del Sector Publico (1978). 1979. Asunción.  
• Cáceres, Rogelio. Financiamiento del Déficit del Sector Público a través del Banco Central del Paraguay (Período 1980-1989). 1991. Asunción.
• Ministerio de Hacienda. Situación Financiera del Sector Público No Financiero (Período 1990-2014). 2016. Asunción
</t>
  </si>
  <si>
    <t xml:space="preserve">• STP. Diagnóstico del Sector Público (Período 1960-1969). 1970. Asunción.
• STP. Evolución de las Finanzas del Sector Publico (1978). 1979. Asunción.  
• Ministerio de Hacienda. SITUFIN - Situación Financiera de la Administración Central (Período 1980-2014). 2016. Asunción.                 
</t>
  </si>
  <si>
    <t xml:space="preserve">• STP. Diagnóstico del Sector Público (Período 1960-1969). 1970. Asunción.
• STP. Evolución de las Finanzas del Sector Publico (1978). 1979. Asunción.  
• STP. El esfuerzo Nacional y el Financiamiento Externo Comportamiento Socioeconómico Reciente y Perspectivas 1977/81 – 1982/85. 1982. Asunción.
• Cáceres, Rogelio. Financiamiento del Déficit del Sector Público a través del Banco Central del Paraguay (Período 1980-1989). 1991. Asunción.
• Ministerio de Hacienda. Situación Financiera del Sector Público No Financiero (Período 1990-2014). 2016. Asunción.
</t>
  </si>
  <si>
    <t xml:space="preserve">• Memorias del Banco Central del Paraguay 1960-1989.
• Anexo Estadístico del Banco Central del Paraguay 1990-2014.
</t>
  </si>
  <si>
    <t>Dirección General de Estadísticas, Encuestas y Censos.</t>
  </si>
  <si>
    <t>• DGEEC. Paraguay: Proyección de la Población Nacional por Sexo y Edad, 2000-2050. 2005. Asunción.
• Elaboración propia Período 2003-2014, con datos de la Encuesta Permanente de Hogares de la DGEEC.</t>
  </si>
  <si>
    <t>• Anexo Estadístico del Banco Central del Paraguay 1990-2014.</t>
  </si>
  <si>
    <t>Documento</t>
  </si>
  <si>
    <t>Balanza de Pagos Cuenta Corriente</t>
  </si>
  <si>
    <t>Inflación de Estados Unidos</t>
  </si>
  <si>
    <t>Índice de Precios al Consumidor (IPC) de Estados Unidos</t>
  </si>
  <si>
    <t>Economía Internacional</t>
  </si>
  <si>
    <t>1960-2014: FRED/ Economic Research Division/
Federal Reserve Bank of St. Louis, Consumer Price Index for All Urban Consumers: All Items, Index 1982-1984=100, Annual, Seasonally Adjusted</t>
  </si>
  <si>
    <t>1961-2014: FRED/ Economic Research Division/
Federal Reserve Bank of St. Louis, Inflation, consumer prices for the United States, Percent, Annual, Not Seasonally Adjusted</t>
  </si>
  <si>
    <t>Federal Reserve Economic Data</t>
  </si>
  <si>
    <t>Crecimiento del PIB</t>
  </si>
  <si>
    <t>%</t>
  </si>
  <si>
    <t xml:space="preserve">• Memorias del Banco Central del Paraguay 1960-1995. 
•Serie 1995-2011 del Dpto. del Sector Externo.
</t>
  </si>
  <si>
    <t>Año Base 1994.</t>
  </si>
  <si>
    <t>La  serie considera como No Residentes a las Binacionales (Itaipú y Yacyreta).</t>
  </si>
  <si>
    <t>(1960-1969) BCP. (1970-2014)</t>
  </si>
  <si>
    <t>Año Base: 2007</t>
  </si>
  <si>
    <t>Índice de Precios al Consumidor (IPC) Base 2007</t>
  </si>
  <si>
    <t>Tipo de Cambio Real (TCR)</t>
  </si>
  <si>
    <t>Tipo de Cambio Nominal</t>
  </si>
  <si>
    <t>Índice</t>
  </si>
  <si>
    <t>• Memorias del Banco Central del Paraguay 1960-1989. 
•Anexo Estadístico del Banco Central del Paraguay 1990-2014.</t>
  </si>
  <si>
    <t>A fin de período</t>
  </si>
  <si>
    <t>Tipo de Cambio Nominal G/US$</t>
  </si>
  <si>
    <t>Tipo de Cambio Real (TCR) G/US$</t>
  </si>
  <si>
    <t>Tipo de Cambio Real G/US$</t>
  </si>
  <si>
    <t>• Memorias del Banco Central del Paraguay 1960-1996. 
•Anexo Estadístico del Banco Central del Paraguay</t>
  </si>
  <si>
    <t>Saldo de la Deuda Pública Interna (con el BCP)</t>
  </si>
  <si>
    <t>Miles de Gs. a Precios de Comprador</t>
  </si>
  <si>
    <t>Servicio de la Deuda Pública Interna</t>
  </si>
  <si>
    <t>Intereses Deuda Pública  Interna</t>
  </si>
  <si>
    <t>Amortización de Capital Deuda Pública Interna</t>
  </si>
  <si>
    <t>Cuenta corriente</t>
  </si>
  <si>
    <t>Exportación</t>
  </si>
  <si>
    <t>Importación</t>
  </si>
  <si>
    <t>Balanza Comercial</t>
  </si>
  <si>
    <t>Var. Reservas Monetarias Internacional</t>
  </si>
  <si>
    <t>/1 Incluye préstamos e inversiones privados y préstamos e inversiones de Empresas Públicas Estatales y de Entes Descentralizados del Sector Público.</t>
  </si>
  <si>
    <t xml:space="preserve"> Transacciones de Itaipú</t>
  </si>
  <si>
    <t>Transacciones de Yacyretá</t>
  </si>
  <si>
    <t>A Largo Plazo</t>
  </si>
  <si>
    <t>A Corto Plazo</t>
  </si>
  <si>
    <t>Binacionales</t>
  </si>
  <si>
    <t>Entrada Neta de Capital Oficial /2</t>
  </si>
  <si>
    <t>Entrada Neta de Capital Privado /1</t>
  </si>
  <si>
    <t>/2 Corresponde al Gobierno Central, a excepción de los años 1960-1965 que incluye además a los Bancos Comerciales</t>
  </si>
  <si>
    <t>PIB nominal</t>
  </si>
  <si>
    <t>millones de PYG</t>
  </si>
  <si>
    <t>Variación</t>
  </si>
  <si>
    <t>BC * (-1)</t>
  </si>
  <si>
    <t>TCR G/US$</t>
  </si>
  <si>
    <t>Millones USD corrientes</t>
  </si>
  <si>
    <t>M0/GDP</t>
  </si>
  <si>
    <t>M1/GDP</t>
  </si>
  <si>
    <t>Var. M0 /GDP</t>
  </si>
  <si>
    <t>Monetary Base/GDP</t>
  </si>
  <si>
    <t>Monetary Base</t>
  </si>
  <si>
    <t>Var. Monetary Base/GDP</t>
  </si>
  <si>
    <t>Var. M1/GDP</t>
  </si>
  <si>
    <t>GDP</t>
  </si>
  <si>
    <t>Current Account</t>
  </si>
  <si>
    <t>Net International Reserves</t>
  </si>
  <si>
    <t>Var. Net International Reserves</t>
  </si>
  <si>
    <t>Exports</t>
  </si>
  <si>
    <t>Imports</t>
  </si>
  <si>
    <t>Balance of Tradel/GDP</t>
  </si>
  <si>
    <t>Balance of Trade</t>
  </si>
  <si>
    <t>base 1974</t>
  </si>
  <si>
    <t>Long run</t>
  </si>
  <si>
    <t>Short  Run</t>
  </si>
  <si>
    <t>Net Official Capital Inflows</t>
  </si>
  <si>
    <t>Binationals</t>
  </si>
  <si>
    <t>Current Account/GDP</t>
  </si>
  <si>
    <t>Net Private Capital Inflows</t>
  </si>
  <si>
    <t>Balance of Payments</t>
  </si>
  <si>
    <t>Var. International Monetary Reserves</t>
  </si>
  <si>
    <t>Net Capítal Inflows</t>
  </si>
  <si>
    <t>Exchange Rate (Right Scale)</t>
  </si>
  <si>
    <t>Exports/GDP</t>
  </si>
  <si>
    <t>Imports/GDP</t>
  </si>
  <si>
    <t>Net Capítal Inflows/GDP</t>
  </si>
  <si>
    <t>Balance of Payments/GDP</t>
  </si>
  <si>
    <t>Gobierno Central</t>
  </si>
  <si>
    <t>Sector Bancario</t>
  </si>
  <si>
    <t>Sector Público</t>
  </si>
  <si>
    <t>Resto del S.P.</t>
  </si>
  <si>
    <t>Créditos Netos otorgados por el BCP</t>
  </si>
  <si>
    <t>Total</t>
  </si>
  <si>
    <t xml:space="preserve">Millones USD constantes (Base 1994) </t>
  </si>
  <si>
    <t>PIB real U$S</t>
  </si>
  <si>
    <t>Millones de Gs. a Precios de Comprador, constantes (Base 1994)</t>
  </si>
  <si>
    <t>Millones de Gs. a Precios de Comprador, corrientes</t>
  </si>
  <si>
    <t>USD constantes*/</t>
  </si>
  <si>
    <t>Crec. Promedio =  2.1882%</t>
  </si>
  <si>
    <t>Ajustado por tipo de cambio nominal - 1994</t>
  </si>
  <si>
    <t>VAR. Ajustado por tipo de cambio - 1994</t>
  </si>
  <si>
    <t>Base 94</t>
  </si>
  <si>
    <t xml:space="preserve"> S.P.C.N.F.</t>
  </si>
  <si>
    <t>A.C.</t>
  </si>
  <si>
    <t>E.P.</t>
  </si>
  <si>
    <t xml:space="preserve">Inflation </t>
  </si>
  <si>
    <t>GDP Per capita</t>
  </si>
  <si>
    <t>Real GDP Per capita detrended</t>
  </si>
  <si>
    <t>Deuda Pública externa</t>
  </si>
  <si>
    <t>IPC</t>
  </si>
  <si>
    <t>Deuda Pública externa en terminos reales</t>
  </si>
  <si>
    <t>Intereses Deuda Pública Interna S.P</t>
  </si>
  <si>
    <t xml:space="preserve"> S.P. - Intereses de la deuda externa</t>
  </si>
  <si>
    <t>Intereses de la deuda (interna+externa)</t>
  </si>
  <si>
    <t>Superavit / Deficit primario  S.P.</t>
  </si>
  <si>
    <t>Resultado fiscal primario/ PIB</t>
  </si>
  <si>
    <t>Amortizaciones de la deuda externa</t>
  </si>
  <si>
    <t>Amortizaciones deuda externa-dolares constantes</t>
  </si>
  <si>
    <t>Amortizaciones totales</t>
  </si>
  <si>
    <t>Necesidad de financiamiento</t>
  </si>
  <si>
    <t xml:space="preserve">Déficit (-)  Superávit (+) </t>
  </si>
  <si>
    <t>Base Monetaria/</t>
  </si>
  <si>
    <t>Var. Base monetaria/</t>
  </si>
  <si>
    <t xml:space="preserve">Inflación </t>
  </si>
  <si>
    <t>Inflacion USA</t>
  </si>
  <si>
    <t>Señoriaje</t>
  </si>
  <si>
    <t>Tasa implicita deuda externa</t>
  </si>
  <si>
    <t>Tasa interes externa ajustada por crecimiento e inflación ext.</t>
  </si>
  <si>
    <t>External return</t>
  </si>
  <si>
    <t>Saldo de la Deuda Pública Interna A.C. (con el BCP)</t>
  </si>
  <si>
    <t>Saldo de la Deuda Pública Interna E.P. (con el BCP)</t>
  </si>
  <si>
    <t>Saldo de la Deuda Pública Interna S.P. (con el BCP)</t>
  </si>
  <si>
    <t>de 1994</t>
  </si>
  <si>
    <t>Index</t>
  </si>
  <si>
    <t>millones de USD</t>
  </si>
  <si>
    <t>USA</t>
  </si>
  <si>
    <t>dolares constantes</t>
  </si>
  <si>
    <t xml:space="preserve">guaranies </t>
  </si>
  <si>
    <t>guaranies / PIB real</t>
  </si>
  <si>
    <t>Millones de guaranies</t>
  </si>
  <si>
    <t>pib nominal</t>
  </si>
  <si>
    <t>Déficit (-)  Superávit (+)</t>
  </si>
  <si>
    <t xml:space="preserve">Déficit (-) Superávit (+) </t>
  </si>
  <si>
    <t>Deficit primario/ PIB</t>
  </si>
  <si>
    <t>Residuo</t>
  </si>
  <si>
    <t xml:space="preserve">Amortizaciones deuda externa </t>
  </si>
  <si>
    <t xml:space="preserve">PIB </t>
  </si>
  <si>
    <t>1962-1973</t>
  </si>
  <si>
    <t>1974-1989</t>
  </si>
  <si>
    <t>1990-2003</t>
  </si>
  <si>
    <t>2004-2014</t>
  </si>
  <si>
    <t>Amortizacion</t>
  </si>
  <si>
    <t>Saldo de la Deuda Pública Interna</t>
  </si>
  <si>
    <t>• Memorias del Banco Central del Paraguay 1960-1993. 
•Anexo Estadístico del Banco Central del Paraguay para el resto del período.</t>
  </si>
  <si>
    <t>Intereses - Deuda Pública Externa</t>
  </si>
  <si>
    <t>Amortización de Capital - Deuda Pública Externa</t>
  </si>
  <si>
    <t>1962</t>
  </si>
  <si>
    <t>1963</t>
  </si>
  <si>
    <t>1964</t>
  </si>
  <si>
    <t>1965</t>
  </si>
  <si>
    <t>1966</t>
  </si>
  <si>
    <t>1967</t>
  </si>
  <si>
    <t>1968</t>
  </si>
  <si>
    <t>1969</t>
  </si>
  <si>
    <t>1970</t>
  </si>
  <si>
    <t>1971</t>
  </si>
  <si>
    <t>1972</t>
  </si>
  <si>
    <t>1973</t>
  </si>
  <si>
    <t>1974</t>
  </si>
  <si>
    <t>1975</t>
  </si>
  <si>
    <t>1996</t>
  </si>
  <si>
    <t>1997</t>
  </si>
  <si>
    <t>1998</t>
  </si>
  <si>
    <t>1999</t>
  </si>
  <si>
    <t>2000</t>
  </si>
  <si>
    <t>2001</t>
  </si>
  <si>
    <t>2002</t>
  </si>
  <si>
    <t>2003</t>
  </si>
  <si>
    <t>OFERTA FINAL</t>
  </si>
  <si>
    <t>Importaciones de Bienes y Servicios</t>
  </si>
  <si>
    <t>DEMANDA FINAL</t>
  </si>
  <si>
    <t>Gastos de Consumo Privado</t>
  </si>
  <si>
    <t>Aumento de Existencias</t>
  </si>
  <si>
    <t>DEMANDA FINAL INTERNA</t>
  </si>
  <si>
    <t>Exportaciones de Bienes y Servicios</t>
  </si>
  <si>
    <t>PIB a precios de mercado</t>
  </si>
  <si>
    <t>Formación Interna Bruta de Capital Fijo</t>
  </si>
  <si>
    <t>Gastos de Consumo del Gobierno</t>
  </si>
  <si>
    <t>Edificios y Otras Construcciones</t>
  </si>
  <si>
    <t>Equipos de Transporte</t>
  </si>
  <si>
    <t>Equipos de Comunicaciones</t>
  </si>
  <si>
    <t>Maquinarias y Otros Equipos</t>
  </si>
  <si>
    <t>En Millones de Gs. de 1982</t>
  </si>
  <si>
    <t>En Millones de Gs. de 1983</t>
  </si>
  <si>
    <t>En Millones de Gs. de 1984</t>
  </si>
  <si>
    <t>En Millones de Gs. de 1985</t>
  </si>
  <si>
    <t>En Millones de Gs. de 1986</t>
  </si>
  <si>
    <t>En Millones de Gs. de 1987</t>
  </si>
  <si>
    <t>En Millones de Gs. de 1988</t>
  </si>
  <si>
    <t>En Millones de Gs. de 1989</t>
  </si>
  <si>
    <t>En Millones de Gs. de 1990</t>
  </si>
  <si>
    <t>En Millones de Gs. de 1991</t>
  </si>
  <si>
    <t>En Millones de Gs. de 1992</t>
  </si>
  <si>
    <t>En Millones de Gs. de 1993</t>
  </si>
  <si>
    <t>En Millones de Gs. de 1994</t>
  </si>
  <si>
    <t>En Millones de Gs. de 1995</t>
  </si>
  <si>
    <t>Formación Interna de Capital por Compador</t>
  </si>
  <si>
    <t>Sector Privado</t>
  </si>
  <si>
    <t>En Millones de Gs. de 1996</t>
  </si>
  <si>
    <t>Soja</t>
  </si>
  <si>
    <t>Maíz</t>
  </si>
  <si>
    <t>Trigo</t>
  </si>
  <si>
    <t>Girasol</t>
  </si>
  <si>
    <t>Arroz</t>
  </si>
  <si>
    <t>USD/ton.</t>
  </si>
  <si>
    <t>USD/barríl</t>
  </si>
  <si>
    <t>n/d</t>
  </si>
  <si>
    <t>1,260,86</t>
  </si>
  <si>
    <t xml:space="preserve">Algodón </t>
  </si>
  <si>
    <t>Carne</t>
  </si>
  <si>
    <t xml:space="preserve">Azúcar </t>
  </si>
  <si>
    <t xml:space="preserve">Petróleo brent </t>
  </si>
  <si>
    <t>Promedio</t>
  </si>
  <si>
    <t>Crec. Real GDP Per capita detrended</t>
  </si>
  <si>
    <t>Crec. Pib real</t>
  </si>
  <si>
    <t xml:space="preserve">Crec. Real GDP Per capita </t>
  </si>
  <si>
    <t>millones de USD / GDP</t>
  </si>
  <si>
    <t>External Public Debt adjusted by RER/GDP</t>
  </si>
  <si>
    <t>External Public Debt/GDP</t>
  </si>
  <si>
    <t>Title:</t>
  </si>
  <si>
    <t>Producer Price Index by Commodity for Finished Goods (DISCONTINUED)</t>
  </si>
  <si>
    <t>Series ID:</t>
  </si>
  <si>
    <t>PPIFGS</t>
  </si>
  <si>
    <t>Source:</t>
  </si>
  <si>
    <t>US. Bureau of Labor Statistics</t>
  </si>
  <si>
    <t>Release:</t>
  </si>
  <si>
    <t>Producer Price Index</t>
  </si>
  <si>
    <t>Seasonal Adjustment:</t>
  </si>
  <si>
    <t>Seasonally Adjusted</t>
  </si>
  <si>
    <t>Frequency:</t>
  </si>
  <si>
    <t>Monthly</t>
  </si>
  <si>
    <t>Units:</t>
  </si>
  <si>
    <t>Index 1982=100</t>
  </si>
  <si>
    <t>Date Range:</t>
  </si>
  <si>
    <t>1947-04-01 to 2015-12-01</t>
  </si>
  <si>
    <t>Last Updated:</t>
  </si>
  <si>
    <t>2016-01-15 8:11 AM CST</t>
  </si>
  <si>
    <t>Notes:</t>
  </si>
  <si>
    <t/>
  </si>
  <si>
    <t>ipp- Base 2007</t>
  </si>
  <si>
    <t>ipc_py</t>
  </si>
  <si>
    <t>ipp_us</t>
  </si>
  <si>
    <t>tcn</t>
  </si>
  <si>
    <t>Var_ipc</t>
  </si>
  <si>
    <t>var_ipp</t>
  </si>
  <si>
    <t>var_tcn</t>
  </si>
  <si>
    <t>DATE</t>
  </si>
  <si>
    <t>VALUE</t>
  </si>
  <si>
    <t xml:space="preserve">promedio </t>
  </si>
  <si>
    <t>promedio</t>
  </si>
  <si>
    <t>Seigniorage</t>
  </si>
  <si>
    <t>Primary Deficit</t>
  </si>
  <si>
    <t>Public Enterprises Deficit (*)</t>
  </si>
  <si>
    <t>Money Issuing</t>
  </si>
  <si>
    <t>External Debt</t>
  </si>
  <si>
    <t>*Estimated as a residual.</t>
  </si>
  <si>
    <t>Inflation (Right Axis)</t>
  </si>
  <si>
    <t xml:space="preserve">GDP Growth </t>
  </si>
  <si>
    <t>Net Foreigh Capital Inflows</t>
  </si>
  <si>
    <t>Net Foreigh Capital Inflows/GDP</t>
  </si>
  <si>
    <t>Net International Reserves/GDP</t>
  </si>
  <si>
    <t>Millones USD</t>
  </si>
  <si>
    <t>Millones GS.</t>
  </si>
  <si>
    <t>Base 07</t>
  </si>
  <si>
    <t>Base 60</t>
  </si>
  <si>
    <t>TCR</t>
  </si>
  <si>
    <t>TCN</t>
  </si>
  <si>
    <t>Año base 2007.</t>
  </si>
  <si>
    <t>Tipo de Cambio  a fin de periodo. Año base 2007.</t>
  </si>
  <si>
    <t>Índice DXY</t>
  </si>
  <si>
    <t>Real PIB</t>
  </si>
  <si>
    <t>Crec. PIB</t>
  </si>
  <si>
    <t>Argentina</t>
  </si>
  <si>
    <t>Barbados</t>
  </si>
  <si>
    <t>Bolivia</t>
  </si>
  <si>
    <t>Brazil</t>
  </si>
  <si>
    <t>Chile</t>
  </si>
  <si>
    <t>Colombia</t>
  </si>
  <si>
    <t>Costa Rica</t>
  </si>
  <si>
    <t>Dominican Republic</t>
  </si>
  <si>
    <t>Ecuador</t>
  </si>
  <si>
    <t>Guatemala</t>
  </si>
  <si>
    <t>Jamaica</t>
  </si>
  <si>
    <t>Mexico</t>
  </si>
  <si>
    <t>Peru</t>
  </si>
  <si>
    <t>Paraguay</t>
  </si>
  <si>
    <t>St. Lucia</t>
  </si>
  <si>
    <t>Trinidad &amp; Tobago</t>
  </si>
  <si>
    <t>Uruguay</t>
  </si>
  <si>
    <t>Venezuela</t>
  </si>
  <si>
    <t>En Millones $ de 1990</t>
  </si>
  <si>
    <t>En $ de 1994</t>
  </si>
  <si>
    <t>51-61</t>
  </si>
  <si>
    <t>62-73</t>
  </si>
  <si>
    <t>74-89</t>
  </si>
  <si>
    <t>90-03</t>
  </si>
  <si>
    <t>04-014</t>
  </si>
  <si>
    <t>51-2014</t>
  </si>
  <si>
    <t>*Paraguay</t>
  </si>
  <si>
    <t>Arroz (Eje derecho)</t>
  </si>
  <si>
    <t>Algodón (Eje Derecho)</t>
  </si>
  <si>
    <t>Azúcar (Eje Derecho)</t>
  </si>
  <si>
    <t>Country</t>
  </si>
  <si>
    <t>1951-1961</t>
  </si>
  <si>
    <t>1951-2014</t>
  </si>
  <si>
    <t>Average</t>
  </si>
  <si>
    <t>Average annual per capita GDP growth (in 1990 GK)</t>
  </si>
  <si>
    <t>Countries</t>
  </si>
  <si>
    <t>Region</t>
  </si>
  <si>
    <t>Source: Central Bank of Paraguay and The Conference Board Total Economy Database.</t>
  </si>
  <si>
    <t>Deficit primario/PIB</t>
  </si>
  <si>
    <t>Deficit S.P./pib</t>
  </si>
  <si>
    <t>GDP per cápita</t>
  </si>
  <si>
    <t>2004-2013</t>
  </si>
  <si>
    <t>1962-1980</t>
  </si>
  <si>
    <t>% PIB</t>
  </si>
  <si>
    <t>JAVIER</t>
  </si>
  <si>
    <t>Cambiar</t>
  </si>
  <si>
    <t>Cambiar en</t>
  </si>
  <si>
    <t>Deficit, Deuda</t>
  </si>
  <si>
    <t>Nueva budget constraint</t>
  </si>
  <si>
    <t>Subperiodos</t>
  </si>
  <si>
    <t>Presidente</t>
  </si>
  <si>
    <t>Cambio en la deuda externa ajustada por TCR</t>
  </si>
  <si>
    <t>Deficit consolidado</t>
  </si>
  <si>
    <t>Deficit consolidado del SP</t>
  </si>
  <si>
    <t>Cambio en la deuda interna (residuo)</t>
  </si>
  <si>
    <t>Cambio en la deuda interna (dato)</t>
  </si>
  <si>
    <t>1981-1988</t>
  </si>
  <si>
    <t>1989-2003</t>
  </si>
  <si>
    <t>Deuda externa</t>
  </si>
  <si>
    <t>Deuda domestica con el BC (residuo)</t>
  </si>
  <si>
    <t>ok</t>
  </si>
  <si>
    <t>grafico de deficit consolidado %pib con inflacion</t>
  </si>
  <si>
    <t>grafico de deuda externa %pib con ajuste de tcr y con tcr constante</t>
  </si>
  <si>
    <t>grafico de deuda externa en usd deflactada con deficit consolidado %pib</t>
  </si>
  <si>
    <t>TOTAL</t>
  </si>
  <si>
    <t>PIB per capita sin tendencia</t>
  </si>
  <si>
    <t>1981-1990</t>
  </si>
  <si>
    <t>1991-2003</t>
  </si>
  <si>
    <t>Budget Constraint</t>
  </si>
  <si>
    <t>Crec. PIB per capita</t>
  </si>
  <si>
    <t>con promedio de subperiodos</t>
  </si>
  <si>
    <t>Inflacion</t>
  </si>
  <si>
    <t>Cambios en la legislacion del BCP</t>
  </si>
  <si>
    <t>2 CUADROS</t>
  </si>
  <si>
    <t>Deficit SPC</t>
  </si>
  <si>
    <t>Deficit PRIMARIO SPC</t>
  </si>
  <si>
    <t>Deficit y deficit primario SPC</t>
  </si>
  <si>
    <t>Deficit EP AC</t>
  </si>
  <si>
    <t>Composicion de la BM</t>
  </si>
  <si>
    <t>Deficit e inflacion</t>
  </si>
  <si>
    <t>Deuda externa deflactada y deficit primario (% pib)</t>
  </si>
  <si>
    <t>b* deflactado ajustado por TCR / PIB y b* deflactado con TCR constante de 1994 /PIB</t>
  </si>
  <si>
    <t>TCR solo</t>
  </si>
  <si>
    <t>Cuadro restriccion</t>
  </si>
  <si>
    <t>8--26</t>
  </si>
  <si>
    <t>27-36</t>
  </si>
  <si>
    <t>37-49</t>
  </si>
  <si>
    <t>50-59</t>
  </si>
  <si>
    <t>an</t>
  </si>
  <si>
    <t xml:space="preserve">  Total</t>
  </si>
  <si>
    <t>Deuda externa deflactada</t>
  </si>
  <si>
    <t>PIB per capita</t>
  </si>
  <si>
    <t>Inflation</t>
  </si>
  <si>
    <t>Transfers (Residue)</t>
  </si>
  <si>
    <t>CPI</t>
  </si>
  <si>
    <t>Annual</t>
  </si>
  <si>
    <t>Growth</t>
  </si>
  <si>
    <t>IMF</t>
  </si>
  <si>
    <t>National</t>
  </si>
  <si>
    <t>Graphic</t>
  </si>
  <si>
    <t>Narrative of the periods</t>
  </si>
  <si>
    <t>The Budget Constraint - First Period</t>
  </si>
  <si>
    <t>Graphics</t>
  </si>
  <si>
    <t>Inflation and CG Primary Deficit</t>
  </si>
  <si>
    <t>Funding Sources</t>
  </si>
  <si>
    <t>GDP growth</t>
  </si>
  <si>
    <t>The Budget Constraint - Second Period</t>
  </si>
  <si>
    <t>Inflation and SP Total Deficit</t>
  </si>
  <si>
    <t>Credits from the Central Bank</t>
  </si>
  <si>
    <t>The Budget Constraint - Third Period</t>
  </si>
  <si>
    <t>Binationals enterprises</t>
  </si>
  <si>
    <t>FOB Imports of oil and derivates</t>
  </si>
  <si>
    <t>External Public Debt payment</t>
  </si>
  <si>
    <t>External Public Debt disbursement</t>
  </si>
  <si>
    <t>Exports of goods of the Private Sector and Public Companies</t>
  </si>
  <si>
    <t>FOB Imports of the Public Companies</t>
  </si>
  <si>
    <t>Exports of services of the Private Sector and Public Companies</t>
  </si>
  <si>
    <t>General Services</t>
  </si>
  <si>
    <t>Supplier credit</t>
  </si>
  <si>
    <t>126-160</t>
  </si>
  <si>
    <t>Free</t>
  </si>
  <si>
    <t>240-400</t>
  </si>
  <si>
    <t>160-240</t>
  </si>
  <si>
    <t>240-320</t>
  </si>
  <si>
    <t>Concept</t>
  </si>
  <si>
    <t>Imports of the Rest of the Public Sector, Agricultural inputs</t>
  </si>
  <si>
    <t>External Private Debt payment</t>
  </si>
  <si>
    <t>External Private Debt disbursement</t>
  </si>
  <si>
    <t>Imports of the Central Government</t>
  </si>
  <si>
    <t>Inflow and outflows of capital from the private sector</t>
  </si>
  <si>
    <t>Market</t>
  </si>
  <si>
    <t>Private S. disbursement</t>
  </si>
  <si>
    <t>Public S. disbursement</t>
  </si>
  <si>
    <t>Private S. payment</t>
  </si>
  <si>
    <t>Public S. payment</t>
  </si>
  <si>
    <t>Para el cálculo del PIB percápita se utilizan las proyecciones de población de la DGEEC. Febrero 2006</t>
  </si>
  <si>
    <t>*/  ( incorpora Binacionales)</t>
  </si>
  <si>
    <t>** Cifras preliminares.</t>
  </si>
  <si>
    <t xml:space="preserve">  </t>
  </si>
  <si>
    <t>No available data</t>
  </si>
  <si>
    <t>Year</t>
  </si>
  <si>
    <t>Change in external debt adjusted by RER</t>
  </si>
  <si>
    <t>Change in monetary base</t>
  </si>
  <si>
    <t>Residual (transfers)</t>
  </si>
  <si>
    <t>1960-1980</t>
  </si>
  <si>
    <t>Million Gs</t>
  </si>
  <si>
    <t>Percent of GDP</t>
  </si>
  <si>
    <t>Public Companies deficit</t>
  </si>
  <si>
    <t>Central Government deficit</t>
  </si>
  <si>
    <t>Non-Financial Public Sector deficit</t>
  </si>
  <si>
    <t>Rest of the Non-Financial Public Sector deficit</t>
  </si>
  <si>
    <t>Non-Financial Public Sector primary deficit</t>
  </si>
  <si>
    <t>Non-Financial Public Sector deficit + subsidies</t>
  </si>
  <si>
    <t>Non-Financial Public Sector primary deficit + subsidies</t>
  </si>
  <si>
    <t>Nominal exchange rate</t>
  </si>
  <si>
    <t>Gs / USD</t>
  </si>
  <si>
    <t>Nominal GDP</t>
  </si>
  <si>
    <t>Million USD</t>
  </si>
  <si>
    <t>Interest on dollar denominated debt</t>
  </si>
  <si>
    <t>Stock of international reserves</t>
  </si>
  <si>
    <t>Real GDP per cápita</t>
  </si>
  <si>
    <t>USD (1994)</t>
  </si>
  <si>
    <t>Producer Price Index of USA</t>
  </si>
  <si>
    <t>Real exchange rate</t>
  </si>
  <si>
    <t>(1994)</t>
  </si>
  <si>
    <t>Index (1994)</t>
  </si>
  <si>
    <t>Consumer Price Index</t>
  </si>
  <si>
    <t>Log (2)</t>
  </si>
  <si>
    <t>Million USD (1994)</t>
  </si>
  <si>
    <t>Real GDP</t>
  </si>
  <si>
    <t>Comercial Banks</t>
  </si>
  <si>
    <t>National Banks</t>
  </si>
  <si>
    <t>Stock of Credits to the Private Sector</t>
  </si>
  <si>
    <t>Dollar denominated debt</t>
  </si>
  <si>
    <t>Dollar denominated debt in million USD (1994)</t>
  </si>
  <si>
    <t>Dollar denominated debt ajusted by RER</t>
  </si>
  <si>
    <t xml:space="preserve">Dollar denominated debt ajusted by 1994 RER </t>
  </si>
  <si>
    <t>Stock of international reserves in Million USD (1994)</t>
  </si>
  <si>
    <t>Stock of international reserves in Million Gs</t>
  </si>
  <si>
    <t>Exchange rate subsides to the public sector from the CBP</t>
  </si>
  <si>
    <t>Change in Dollar denominated debt in million USD (1994)</t>
  </si>
  <si>
    <t>Deficit of the non financial public sector</t>
  </si>
  <si>
    <t>2004-2015</t>
  </si>
  <si>
    <t>Credits of the banking system to the private sector</t>
  </si>
  <si>
    <t>Title</t>
  </si>
  <si>
    <t>Log of per-capita GDP</t>
  </si>
  <si>
    <t>2% trend</t>
  </si>
  <si>
    <t>1960</t>
  </si>
  <si>
    <t>1961</t>
  </si>
  <si>
    <t>1976</t>
  </si>
  <si>
    <t>1977</t>
  </si>
  <si>
    <t>1978</t>
  </si>
  <si>
    <t>1979</t>
  </si>
  <si>
    <t>1980</t>
  </si>
  <si>
    <t>1981</t>
  </si>
  <si>
    <t>1982</t>
  </si>
  <si>
    <t>1983</t>
  </si>
  <si>
    <t>1984</t>
  </si>
  <si>
    <t>1985</t>
  </si>
  <si>
    <t>1986</t>
  </si>
  <si>
    <t>1987</t>
  </si>
  <si>
    <t>1988</t>
  </si>
  <si>
    <t>1989</t>
  </si>
  <si>
    <t>1990</t>
  </si>
  <si>
    <t>1991</t>
  </si>
  <si>
    <t>1992</t>
  </si>
  <si>
    <t>1993</t>
  </si>
  <si>
    <t>1994</t>
  </si>
  <si>
    <t>1995</t>
  </si>
  <si>
    <t>2004</t>
  </si>
  <si>
    <t>2005</t>
  </si>
  <si>
    <t>2006</t>
  </si>
  <si>
    <t>2007</t>
  </si>
  <si>
    <t>2008</t>
  </si>
  <si>
    <t>2009</t>
  </si>
  <si>
    <t>2010</t>
  </si>
  <si>
    <t>2011</t>
  </si>
  <si>
    <t>2012</t>
  </si>
  <si>
    <t>2013</t>
  </si>
  <si>
    <t>2014</t>
  </si>
  <si>
    <t>2015</t>
  </si>
  <si>
    <t>2016</t>
  </si>
  <si>
    <t>2017</t>
  </si>
  <si>
    <t>Government deficit, percent of GDP</t>
  </si>
  <si>
    <t>Jan-1961</t>
  </si>
  <si>
    <t>Feb-1961</t>
  </si>
  <si>
    <t>Mar-1961</t>
  </si>
  <si>
    <t>Apr-1961</t>
  </si>
  <si>
    <t>May-1961</t>
  </si>
  <si>
    <t>Jun-1961</t>
  </si>
  <si>
    <t>Jul-1961</t>
  </si>
  <si>
    <t>Aug-1961</t>
  </si>
  <si>
    <t>Sep-1961</t>
  </si>
  <si>
    <t>Oct-1961</t>
  </si>
  <si>
    <t>Nov-1961</t>
  </si>
  <si>
    <t>Dec-1961</t>
  </si>
  <si>
    <t>Jan-1962</t>
  </si>
  <si>
    <t>Feb-1962</t>
  </si>
  <si>
    <t>Mar-1962</t>
  </si>
  <si>
    <t>Apr-1962</t>
  </si>
  <si>
    <t>May-1962</t>
  </si>
  <si>
    <t>Jun-1962</t>
  </si>
  <si>
    <t>Jul-1962</t>
  </si>
  <si>
    <t>Aug-1962</t>
  </si>
  <si>
    <t>Sep-1962</t>
  </si>
  <si>
    <t>Oct-1962</t>
  </si>
  <si>
    <t>Nov-1962</t>
  </si>
  <si>
    <t>Dec-1962</t>
  </si>
  <si>
    <t>Jan-1963</t>
  </si>
  <si>
    <t>Feb-1963</t>
  </si>
  <si>
    <t>Mar-1963</t>
  </si>
  <si>
    <t>Apr-1963</t>
  </si>
  <si>
    <t>May-1963</t>
  </si>
  <si>
    <t>Jun-1963</t>
  </si>
  <si>
    <t>Jul-1963</t>
  </si>
  <si>
    <t>Aug-1963</t>
  </si>
  <si>
    <t>Sep-1963</t>
  </si>
  <si>
    <t>Oct-1963</t>
  </si>
  <si>
    <t>Nov-1963</t>
  </si>
  <si>
    <t>Dec-1963</t>
  </si>
  <si>
    <t>Jan-1964</t>
  </si>
  <si>
    <t>Feb-1964</t>
  </si>
  <si>
    <t>Mar-1964</t>
  </si>
  <si>
    <t>Apr-1964</t>
  </si>
  <si>
    <t>May-1964</t>
  </si>
  <si>
    <t>Jun-1964</t>
  </si>
  <si>
    <t>Jul-1964</t>
  </si>
  <si>
    <t>Aug-1964</t>
  </si>
  <si>
    <t>Sep-1964</t>
  </si>
  <si>
    <t>Oct-1964</t>
  </si>
  <si>
    <t>Nov-1964</t>
  </si>
  <si>
    <t>Dec-1964</t>
  </si>
  <si>
    <t>Jan-1965</t>
  </si>
  <si>
    <t>Feb-1965</t>
  </si>
  <si>
    <t>Mar-1965</t>
  </si>
  <si>
    <t>Apr-1965</t>
  </si>
  <si>
    <t>May-1965</t>
  </si>
  <si>
    <t>Jun-1965</t>
  </si>
  <si>
    <t>Jul-1965</t>
  </si>
  <si>
    <t>Aug-1965</t>
  </si>
  <si>
    <t>Sep-1965</t>
  </si>
  <si>
    <t>Oct-1965</t>
  </si>
  <si>
    <t>Nov-1965</t>
  </si>
  <si>
    <t>Dec-1965</t>
  </si>
  <si>
    <t>Jan-1966</t>
  </si>
  <si>
    <t>Feb-1966</t>
  </si>
  <si>
    <t>Mar-1966</t>
  </si>
  <si>
    <t>Apr-1966</t>
  </si>
  <si>
    <t>May-1966</t>
  </si>
  <si>
    <t>Jun-1966</t>
  </si>
  <si>
    <t>Jul-1966</t>
  </si>
  <si>
    <t>Aug-1966</t>
  </si>
  <si>
    <t>Sep-1966</t>
  </si>
  <si>
    <t>Oct-1966</t>
  </si>
  <si>
    <t>Nov-1966</t>
  </si>
  <si>
    <t>Dec-1966</t>
  </si>
  <si>
    <t>Jan-1967</t>
  </si>
  <si>
    <t>Feb-1967</t>
  </si>
  <si>
    <t>Mar-1967</t>
  </si>
  <si>
    <t>Apr-1967</t>
  </si>
  <si>
    <t>May-1967</t>
  </si>
  <si>
    <t>Jun-1967</t>
  </si>
  <si>
    <t>Jul-1967</t>
  </si>
  <si>
    <t>Aug-1967</t>
  </si>
  <si>
    <t>Sep-1967</t>
  </si>
  <si>
    <t>Oct-1967</t>
  </si>
  <si>
    <t>Nov-1967</t>
  </si>
  <si>
    <t>Dec-1967</t>
  </si>
  <si>
    <t>Jan-1968</t>
  </si>
  <si>
    <t>Feb-1968</t>
  </si>
  <si>
    <t>Mar-1968</t>
  </si>
  <si>
    <t>Apr-1968</t>
  </si>
  <si>
    <t>May-1968</t>
  </si>
  <si>
    <t>Jun-1968</t>
  </si>
  <si>
    <t>Jul-1968</t>
  </si>
  <si>
    <t>Aug-1968</t>
  </si>
  <si>
    <t>Sep-1968</t>
  </si>
  <si>
    <t>Oct-1968</t>
  </si>
  <si>
    <t>Nov-1968</t>
  </si>
  <si>
    <t>Dec-1968</t>
  </si>
  <si>
    <t>Jan-1969</t>
  </si>
  <si>
    <t>Feb-1969</t>
  </si>
  <si>
    <t>Mar-1969</t>
  </si>
  <si>
    <t>Apr-1969</t>
  </si>
  <si>
    <t>May-1969</t>
  </si>
  <si>
    <t>Jun-1969</t>
  </si>
  <si>
    <t>Jul-1969</t>
  </si>
  <si>
    <t>Aug-1969</t>
  </si>
  <si>
    <t>Sep-1969</t>
  </si>
  <si>
    <t>Oct-1969</t>
  </si>
  <si>
    <t>Nov-1969</t>
  </si>
  <si>
    <t>Dec-1969</t>
  </si>
  <si>
    <t>Jan-1970</t>
  </si>
  <si>
    <t>Feb-1970</t>
  </si>
  <si>
    <t>Mar-1970</t>
  </si>
  <si>
    <t>Apr-1970</t>
  </si>
  <si>
    <t>May-1970</t>
  </si>
  <si>
    <t>Jun-1970</t>
  </si>
  <si>
    <t>Jul-1970</t>
  </si>
  <si>
    <t>Aug-1970</t>
  </si>
  <si>
    <t>Sep-1970</t>
  </si>
  <si>
    <t>Oct-1970</t>
  </si>
  <si>
    <t>Nov-1970</t>
  </si>
  <si>
    <t>Dec-1970</t>
  </si>
  <si>
    <t>Jan-1971</t>
  </si>
  <si>
    <t>Feb-1971</t>
  </si>
  <si>
    <t>Mar-1971</t>
  </si>
  <si>
    <t>Apr-1971</t>
  </si>
  <si>
    <t>May-1971</t>
  </si>
  <si>
    <t>Jun-1971</t>
  </si>
  <si>
    <t>Jul-1971</t>
  </si>
  <si>
    <t>Aug-1971</t>
  </si>
  <si>
    <t>Sep-1971</t>
  </si>
  <si>
    <t>Oct-1971</t>
  </si>
  <si>
    <t>Nov-1971</t>
  </si>
  <si>
    <t>Dec-1971</t>
  </si>
  <si>
    <t>Jan-1972</t>
  </si>
  <si>
    <t>Feb-1972</t>
  </si>
  <si>
    <t>Mar-1972</t>
  </si>
  <si>
    <t>Apr-1972</t>
  </si>
  <si>
    <t>May-1972</t>
  </si>
  <si>
    <t>Jun-1972</t>
  </si>
  <si>
    <t>Jul-1972</t>
  </si>
  <si>
    <t>Aug-1972</t>
  </si>
  <si>
    <t>Sep-1972</t>
  </si>
  <si>
    <t>Oct-1972</t>
  </si>
  <si>
    <t>Nov-1972</t>
  </si>
  <si>
    <t>Dec-1972</t>
  </si>
  <si>
    <t>Jan-1973</t>
  </si>
  <si>
    <t>Feb-1973</t>
  </si>
  <si>
    <t>Mar-1973</t>
  </si>
  <si>
    <t>Apr-1973</t>
  </si>
  <si>
    <t>May-1973</t>
  </si>
  <si>
    <t>Jun-1973</t>
  </si>
  <si>
    <t>Jul-1973</t>
  </si>
  <si>
    <t>Aug-1973</t>
  </si>
  <si>
    <t>Sep-1973</t>
  </si>
  <si>
    <t>Oct-1973</t>
  </si>
  <si>
    <t>Nov-1973</t>
  </si>
  <si>
    <t>Dec-1973</t>
  </si>
  <si>
    <t>Jan-1974</t>
  </si>
  <si>
    <t>Feb-1974</t>
  </si>
  <si>
    <t>Mar-1974</t>
  </si>
  <si>
    <t>Apr-1974</t>
  </si>
  <si>
    <t>May-1974</t>
  </si>
  <si>
    <t>Jun-1974</t>
  </si>
  <si>
    <t>Jul-1974</t>
  </si>
  <si>
    <t>Aug-1974</t>
  </si>
  <si>
    <t>Sep-1974</t>
  </si>
  <si>
    <t>Oct-1974</t>
  </si>
  <si>
    <t>Nov-1974</t>
  </si>
  <si>
    <t>Dec-1974</t>
  </si>
  <si>
    <t>Jan-1975</t>
  </si>
  <si>
    <t>Feb-1975</t>
  </si>
  <si>
    <t>Mar-1975</t>
  </si>
  <si>
    <t>Apr-1975</t>
  </si>
  <si>
    <t>May-1975</t>
  </si>
  <si>
    <t>Jun-1975</t>
  </si>
  <si>
    <t>Jul-1975</t>
  </si>
  <si>
    <t>Aug-1975</t>
  </si>
  <si>
    <t>Sep-1975</t>
  </si>
  <si>
    <t>Oct-1975</t>
  </si>
  <si>
    <t>Nov-1975</t>
  </si>
  <si>
    <t>Dec-1975</t>
  </si>
  <si>
    <t>Jan-1976</t>
  </si>
  <si>
    <t>Feb-1976</t>
  </si>
  <si>
    <t>Mar-1976</t>
  </si>
  <si>
    <t>Apr-1976</t>
  </si>
  <si>
    <t>May-1976</t>
  </si>
  <si>
    <t>Jun-1976</t>
  </si>
  <si>
    <t>Jul-1976</t>
  </si>
  <si>
    <t>Aug-1976</t>
  </si>
  <si>
    <t>Sep-1976</t>
  </si>
  <si>
    <t>Oct-1976</t>
  </si>
  <si>
    <t>Nov-1976</t>
  </si>
  <si>
    <t>Dec-1976</t>
  </si>
  <si>
    <t>Jan-1977</t>
  </si>
  <si>
    <t>Feb-1977</t>
  </si>
  <si>
    <t>Mar-1977</t>
  </si>
  <si>
    <t>Apr-1977</t>
  </si>
  <si>
    <t>May-1977</t>
  </si>
  <si>
    <t>Jun-1977</t>
  </si>
  <si>
    <t>Jul-1977</t>
  </si>
  <si>
    <t>Aug-1977</t>
  </si>
  <si>
    <t>Sep-1977</t>
  </si>
  <si>
    <t>Oct-1977</t>
  </si>
  <si>
    <t>Nov-1977</t>
  </si>
  <si>
    <t>Dec-1977</t>
  </si>
  <si>
    <t>Jan-1978</t>
  </si>
  <si>
    <t>Feb-1978</t>
  </si>
  <si>
    <t>Mar-1978</t>
  </si>
  <si>
    <t>Apr-1978</t>
  </si>
  <si>
    <t>May-1978</t>
  </si>
  <si>
    <t>Jun-1978</t>
  </si>
  <si>
    <t>Jul-1978</t>
  </si>
  <si>
    <t>Aug-1978</t>
  </si>
  <si>
    <t>Sep-1978</t>
  </si>
  <si>
    <t>Oct-1978</t>
  </si>
  <si>
    <t>Nov-1978</t>
  </si>
  <si>
    <t>Dec-1978</t>
  </si>
  <si>
    <t>Jan-1979</t>
  </si>
  <si>
    <t>Feb-1979</t>
  </si>
  <si>
    <t>Mar-1979</t>
  </si>
  <si>
    <t>Apr-1979</t>
  </si>
  <si>
    <t>May-1979</t>
  </si>
  <si>
    <t>Jun-1979</t>
  </si>
  <si>
    <t>Jul-1979</t>
  </si>
  <si>
    <t>Aug-1979</t>
  </si>
  <si>
    <t>Sep-1979</t>
  </si>
  <si>
    <t>Oct-1979</t>
  </si>
  <si>
    <t>Nov-1979</t>
  </si>
  <si>
    <t>Dec-1979</t>
  </si>
  <si>
    <t>Jan-1980</t>
  </si>
  <si>
    <t>Feb-1980</t>
  </si>
  <si>
    <t>Mar-1980</t>
  </si>
  <si>
    <t>Apr-1980</t>
  </si>
  <si>
    <t>May-1980</t>
  </si>
  <si>
    <t>Jun-1980</t>
  </si>
  <si>
    <t>Jul-1980</t>
  </si>
  <si>
    <t>Aug-1980</t>
  </si>
  <si>
    <t>Sep-1980</t>
  </si>
  <si>
    <t>Oct-1980</t>
  </si>
  <si>
    <t>Nov-1980</t>
  </si>
  <si>
    <t>Dec-1980</t>
  </si>
  <si>
    <t>Jan-1981</t>
  </si>
  <si>
    <t>Feb-1981</t>
  </si>
  <si>
    <t>Mar-1981</t>
  </si>
  <si>
    <t>Apr-1981</t>
  </si>
  <si>
    <t>May-1981</t>
  </si>
  <si>
    <t>Jun-1981</t>
  </si>
  <si>
    <t>Jul-1981</t>
  </si>
  <si>
    <t>Aug-1981</t>
  </si>
  <si>
    <t>Sep-1981</t>
  </si>
  <si>
    <t>Oct-1981</t>
  </si>
  <si>
    <t>Nov-1981</t>
  </si>
  <si>
    <t>Dec-1981</t>
  </si>
  <si>
    <t>Jan-1982</t>
  </si>
  <si>
    <t>Feb-1982</t>
  </si>
  <si>
    <t>Mar-1982</t>
  </si>
  <si>
    <t>Apr-1982</t>
  </si>
  <si>
    <t>May-1982</t>
  </si>
  <si>
    <t>Jun-1982</t>
  </si>
  <si>
    <t>Jul-1982</t>
  </si>
  <si>
    <t>Aug-1982</t>
  </si>
  <si>
    <t>Sep-1982</t>
  </si>
  <si>
    <t>Oct-1982</t>
  </si>
  <si>
    <t>Nov-1982</t>
  </si>
  <si>
    <t>Dec-1982</t>
  </si>
  <si>
    <t>Jan-1983</t>
  </si>
  <si>
    <t>Feb-1983</t>
  </si>
  <si>
    <t>Mar-1983</t>
  </si>
  <si>
    <t>Apr-1983</t>
  </si>
  <si>
    <t>May-1983</t>
  </si>
  <si>
    <t>Jun-1983</t>
  </si>
  <si>
    <t>Jul-1983</t>
  </si>
  <si>
    <t>Aug-1983</t>
  </si>
  <si>
    <t>Sep-1983</t>
  </si>
  <si>
    <t>Oct-1983</t>
  </si>
  <si>
    <t>Nov-1983</t>
  </si>
  <si>
    <t>Dec-1983</t>
  </si>
  <si>
    <t>Jan-1984</t>
  </si>
  <si>
    <t>Feb-1984</t>
  </si>
  <si>
    <t>Mar-1984</t>
  </si>
  <si>
    <t>Apr-1984</t>
  </si>
  <si>
    <t>May-1984</t>
  </si>
  <si>
    <t>Jun-1984</t>
  </si>
  <si>
    <t>Jul-1984</t>
  </si>
  <si>
    <t>Aug-1984</t>
  </si>
  <si>
    <t>Sep-1984</t>
  </si>
  <si>
    <t>Oct-1984</t>
  </si>
  <si>
    <t>Nov-1984</t>
  </si>
  <si>
    <t>Dec-1984</t>
  </si>
  <si>
    <t>Jan-1985</t>
  </si>
  <si>
    <t>Feb-1985</t>
  </si>
  <si>
    <t>Mar-1985</t>
  </si>
  <si>
    <t>Apr-1985</t>
  </si>
  <si>
    <t>May-1985</t>
  </si>
  <si>
    <t>Jun-1985</t>
  </si>
  <si>
    <t>Jul-1985</t>
  </si>
  <si>
    <t>Aug-1985</t>
  </si>
  <si>
    <t>Sep-1985</t>
  </si>
  <si>
    <t>Oct-1985</t>
  </si>
  <si>
    <t>Nov-1985</t>
  </si>
  <si>
    <t>Dec-1985</t>
  </si>
  <si>
    <t>Jan-1986</t>
  </si>
  <si>
    <t>Feb-1986</t>
  </si>
  <si>
    <t>Mar-1986</t>
  </si>
  <si>
    <t>Apr-1986</t>
  </si>
  <si>
    <t>May-1986</t>
  </si>
  <si>
    <t>Jun-1986</t>
  </si>
  <si>
    <t>Jul-1986</t>
  </si>
  <si>
    <t>Aug-1986</t>
  </si>
  <si>
    <t>Sep-1986</t>
  </si>
  <si>
    <t>Oct-1986</t>
  </si>
  <si>
    <t>Nov-1986</t>
  </si>
  <si>
    <t>Dec-1986</t>
  </si>
  <si>
    <t>Jan-1987</t>
  </si>
  <si>
    <t>Feb-1987</t>
  </si>
  <si>
    <t>Mar-1987</t>
  </si>
  <si>
    <t>Apr-1987</t>
  </si>
  <si>
    <t>May-1987</t>
  </si>
  <si>
    <t>Jun-1987</t>
  </si>
  <si>
    <t>Jul-1987</t>
  </si>
  <si>
    <t>Aug-1987</t>
  </si>
  <si>
    <t>Sep-1987</t>
  </si>
  <si>
    <t>Oct-1987</t>
  </si>
  <si>
    <t>Nov-1987</t>
  </si>
  <si>
    <t>Dec-1987</t>
  </si>
  <si>
    <t>Jan-1988</t>
  </si>
  <si>
    <t>Feb-1988</t>
  </si>
  <si>
    <t>Mar-1988</t>
  </si>
  <si>
    <t>Apr-1988</t>
  </si>
  <si>
    <t>May-1988</t>
  </si>
  <si>
    <t>Jun-1988</t>
  </si>
  <si>
    <t>Jul-1988</t>
  </si>
  <si>
    <t>Aug-1988</t>
  </si>
  <si>
    <t>Sep-1988</t>
  </si>
  <si>
    <t>Oct-1988</t>
  </si>
  <si>
    <t>Nov-1988</t>
  </si>
  <si>
    <t>Dec-1988</t>
  </si>
  <si>
    <t>Jan-1989</t>
  </si>
  <si>
    <t>Feb-1989</t>
  </si>
  <si>
    <t>Mar-1989</t>
  </si>
  <si>
    <t>Apr-1989</t>
  </si>
  <si>
    <t>May-1989</t>
  </si>
  <si>
    <t>Jun-1989</t>
  </si>
  <si>
    <t>Jul-1989</t>
  </si>
  <si>
    <t>Aug-1989</t>
  </si>
  <si>
    <t>Sep-1989</t>
  </si>
  <si>
    <t>Oct-1989</t>
  </si>
  <si>
    <t>Nov-1989</t>
  </si>
  <si>
    <t>Dec-1989</t>
  </si>
  <si>
    <t>Jan-1990</t>
  </si>
  <si>
    <t>Feb-1990</t>
  </si>
  <si>
    <t>Mar-1990</t>
  </si>
  <si>
    <t>Apr-1990</t>
  </si>
  <si>
    <t>May-1990</t>
  </si>
  <si>
    <t>Jun-1990</t>
  </si>
  <si>
    <t>Jul-1990</t>
  </si>
  <si>
    <t>Aug-1990</t>
  </si>
  <si>
    <t>Sep-1990</t>
  </si>
  <si>
    <t>Oct-1990</t>
  </si>
  <si>
    <t>Nov-1990</t>
  </si>
  <si>
    <t>Dec-1990</t>
  </si>
  <si>
    <t>Jan-1991</t>
  </si>
  <si>
    <t>Feb-1991</t>
  </si>
  <si>
    <t>Mar-1991</t>
  </si>
  <si>
    <t>Apr-1991</t>
  </si>
  <si>
    <t>May-1991</t>
  </si>
  <si>
    <t>Jun-1991</t>
  </si>
  <si>
    <t>Jul-1991</t>
  </si>
  <si>
    <t>Aug-1991</t>
  </si>
  <si>
    <t>Sep-1991</t>
  </si>
  <si>
    <t>Oct-1991</t>
  </si>
  <si>
    <t>Nov-1991</t>
  </si>
  <si>
    <t>Dec-1991</t>
  </si>
  <si>
    <t>Jan-1992</t>
  </si>
  <si>
    <t>Feb-1992</t>
  </si>
  <si>
    <t>Mar-1992</t>
  </si>
  <si>
    <t>Apr-1992</t>
  </si>
  <si>
    <t>May-1992</t>
  </si>
  <si>
    <t>Jun-1992</t>
  </si>
  <si>
    <t>Jul-1992</t>
  </si>
  <si>
    <t>Aug-1992</t>
  </si>
  <si>
    <t>Sep-1992</t>
  </si>
  <si>
    <t>Oct-1992</t>
  </si>
  <si>
    <t>Nov-1992</t>
  </si>
  <si>
    <t>Dec-1992</t>
  </si>
  <si>
    <t>Jan-1993</t>
  </si>
  <si>
    <t>Feb-1993</t>
  </si>
  <si>
    <t>Mar-1993</t>
  </si>
  <si>
    <t>Apr-1993</t>
  </si>
  <si>
    <t>May-1993</t>
  </si>
  <si>
    <t>Jun-1993</t>
  </si>
  <si>
    <t>Jul-1993</t>
  </si>
  <si>
    <t>Aug-1993</t>
  </si>
  <si>
    <t>Sep-1993</t>
  </si>
  <si>
    <t>Oct-1993</t>
  </si>
  <si>
    <t>Nov-1993</t>
  </si>
  <si>
    <t>Dec-1993</t>
  </si>
  <si>
    <t>Jan-1994</t>
  </si>
  <si>
    <t>Feb-1994</t>
  </si>
  <si>
    <t>Mar-1994</t>
  </si>
  <si>
    <t>Apr-1994</t>
  </si>
  <si>
    <t>May-1994</t>
  </si>
  <si>
    <t>Jun-1994</t>
  </si>
  <si>
    <t>Jul-1994</t>
  </si>
  <si>
    <t>Aug-1994</t>
  </si>
  <si>
    <t>Sep-1994</t>
  </si>
  <si>
    <t>Oct-1994</t>
  </si>
  <si>
    <t>Nov-1994</t>
  </si>
  <si>
    <t>Dec-1994</t>
  </si>
  <si>
    <t>Jan-1995</t>
  </si>
  <si>
    <t>Feb-1995</t>
  </si>
  <si>
    <t>Mar-1995</t>
  </si>
  <si>
    <t>Apr-1995</t>
  </si>
  <si>
    <t>May-1995</t>
  </si>
  <si>
    <t>Jun-1995</t>
  </si>
  <si>
    <t>Jul-1995</t>
  </si>
  <si>
    <t>Aug-1995</t>
  </si>
  <si>
    <t>Sep-1995</t>
  </si>
  <si>
    <t>Oct-1995</t>
  </si>
  <si>
    <t>Nov-1995</t>
  </si>
  <si>
    <t>Dec-1995</t>
  </si>
  <si>
    <t>Jan-1996</t>
  </si>
  <si>
    <t>Feb-1996</t>
  </si>
  <si>
    <t>Mar-1996</t>
  </si>
  <si>
    <t>Apr-1996</t>
  </si>
  <si>
    <t>May-1996</t>
  </si>
  <si>
    <t>Jun-1996</t>
  </si>
  <si>
    <t>Jul-1996</t>
  </si>
  <si>
    <t>Aug-1996</t>
  </si>
  <si>
    <t>Sep-1996</t>
  </si>
  <si>
    <t>Oct-1996</t>
  </si>
  <si>
    <t>Nov-1996</t>
  </si>
  <si>
    <t>Dec-1996</t>
  </si>
  <si>
    <t>Jan-1997</t>
  </si>
  <si>
    <t>Feb-1997</t>
  </si>
  <si>
    <t>Mar-1997</t>
  </si>
  <si>
    <t>Apr-1997</t>
  </si>
  <si>
    <t>May-1997</t>
  </si>
  <si>
    <t>Jun-1997</t>
  </si>
  <si>
    <t>Jul-1997</t>
  </si>
  <si>
    <t>Aug-1997</t>
  </si>
  <si>
    <t>Sep-1997</t>
  </si>
  <si>
    <t>Oct-1997</t>
  </si>
  <si>
    <t>Nov-1997</t>
  </si>
  <si>
    <t>Dec-1997</t>
  </si>
  <si>
    <t>Jan-1998</t>
  </si>
  <si>
    <t>Feb-1998</t>
  </si>
  <si>
    <t>Mar-1998</t>
  </si>
  <si>
    <t>Apr-1998</t>
  </si>
  <si>
    <t>May-1998</t>
  </si>
  <si>
    <t>Jun-1998</t>
  </si>
  <si>
    <t>Jul-1998</t>
  </si>
  <si>
    <t>Aug-1998</t>
  </si>
  <si>
    <t>Sep-1998</t>
  </si>
  <si>
    <t>Oct-1998</t>
  </si>
  <si>
    <t>Nov-1998</t>
  </si>
  <si>
    <t>Dec-1998</t>
  </si>
  <si>
    <t>Jan-1999</t>
  </si>
  <si>
    <t>Feb-1999</t>
  </si>
  <si>
    <t>Mar-1999</t>
  </si>
  <si>
    <t>Apr-1999</t>
  </si>
  <si>
    <t>May-1999</t>
  </si>
  <si>
    <t>Jun-1999</t>
  </si>
  <si>
    <t>Jul-1999</t>
  </si>
  <si>
    <t>Aug-1999</t>
  </si>
  <si>
    <t>Sep-1999</t>
  </si>
  <si>
    <t>Oct-1999</t>
  </si>
  <si>
    <t>Nov-1999</t>
  </si>
  <si>
    <t>Dec-1999</t>
  </si>
  <si>
    <t>Jan-2000</t>
  </si>
  <si>
    <t>Feb-2000</t>
  </si>
  <si>
    <t>Mar-2000</t>
  </si>
  <si>
    <t>Apr-2000</t>
  </si>
  <si>
    <t>May-2000</t>
  </si>
  <si>
    <t>Jun-2000</t>
  </si>
  <si>
    <t>Jul-2000</t>
  </si>
  <si>
    <t>Aug-2000</t>
  </si>
  <si>
    <t>Sep-2000</t>
  </si>
  <si>
    <t>Oct-2000</t>
  </si>
  <si>
    <t>Nov-2000</t>
  </si>
  <si>
    <t>Dec-2000</t>
  </si>
  <si>
    <t>Jan-2001</t>
  </si>
  <si>
    <t>Feb-2001</t>
  </si>
  <si>
    <t>Mar-2001</t>
  </si>
  <si>
    <t>Apr-2001</t>
  </si>
  <si>
    <t>May-2001</t>
  </si>
  <si>
    <t>Jun-2001</t>
  </si>
  <si>
    <t>Jul-2001</t>
  </si>
  <si>
    <t>Aug-2001</t>
  </si>
  <si>
    <t>Sep-2001</t>
  </si>
  <si>
    <t>Oct-2001</t>
  </si>
  <si>
    <t>Nov-2001</t>
  </si>
  <si>
    <t>Dec-2001</t>
  </si>
  <si>
    <t>Jan-2002</t>
  </si>
  <si>
    <t>Feb-2002</t>
  </si>
  <si>
    <t>Mar-2002</t>
  </si>
  <si>
    <t>Apr-2002</t>
  </si>
  <si>
    <t>May-2002</t>
  </si>
  <si>
    <t>Jun-2002</t>
  </si>
  <si>
    <t>Jul-2002</t>
  </si>
  <si>
    <t>Aug-2002</t>
  </si>
  <si>
    <t>Sep-2002</t>
  </si>
  <si>
    <t>Oct-2002</t>
  </si>
  <si>
    <t>Nov-2002</t>
  </si>
  <si>
    <t>Dec-2002</t>
  </si>
  <si>
    <t>Jan-2003</t>
  </si>
  <si>
    <t>Feb-2003</t>
  </si>
  <si>
    <t>Mar-2003</t>
  </si>
  <si>
    <t>Apr-2003</t>
  </si>
  <si>
    <t>May-2003</t>
  </si>
  <si>
    <t>Jun-2003</t>
  </si>
  <si>
    <t>Jul-2003</t>
  </si>
  <si>
    <t>Aug-2003</t>
  </si>
  <si>
    <t>Sep-2003</t>
  </si>
  <si>
    <t>Oct-2003</t>
  </si>
  <si>
    <t>Nov-2003</t>
  </si>
  <si>
    <t>Dec-2003</t>
  </si>
  <si>
    <t>Jan-2004</t>
  </si>
  <si>
    <t>Feb-2004</t>
  </si>
  <si>
    <t>Mar-2004</t>
  </si>
  <si>
    <t>Apr-2004</t>
  </si>
  <si>
    <t>May-2004</t>
  </si>
  <si>
    <t>Jun-2004</t>
  </si>
  <si>
    <t>Jul-2004</t>
  </si>
  <si>
    <t>Aug-2004</t>
  </si>
  <si>
    <t>Sep-2004</t>
  </si>
  <si>
    <t>Oct-2004</t>
  </si>
  <si>
    <t>Nov-2004</t>
  </si>
  <si>
    <t>Dec-2004</t>
  </si>
  <si>
    <t>Jan-2005</t>
  </si>
  <si>
    <t>Feb-2005</t>
  </si>
  <si>
    <t>Mar-2005</t>
  </si>
  <si>
    <t>Apr-2005</t>
  </si>
  <si>
    <t>May-2005</t>
  </si>
  <si>
    <t>Jun-2005</t>
  </si>
  <si>
    <t>Jul-2005</t>
  </si>
  <si>
    <t>Aug-2005</t>
  </si>
  <si>
    <t>Sep-2005</t>
  </si>
  <si>
    <t>Oct-2005</t>
  </si>
  <si>
    <t>Nov-2005</t>
  </si>
  <si>
    <t>Dec-2005</t>
  </si>
  <si>
    <t>Jan-2006</t>
  </si>
  <si>
    <t>Feb-2006</t>
  </si>
  <si>
    <t>Mar-2006</t>
  </si>
  <si>
    <t>Apr-2006</t>
  </si>
  <si>
    <t>May-2006</t>
  </si>
  <si>
    <t>Jun-2006</t>
  </si>
  <si>
    <t>Jul-2006</t>
  </si>
  <si>
    <t>Aug-2006</t>
  </si>
  <si>
    <t>Sep-2006</t>
  </si>
  <si>
    <t>Oct-2006</t>
  </si>
  <si>
    <t>Nov-2006</t>
  </si>
  <si>
    <t>Dec-2006</t>
  </si>
  <si>
    <t>Jan-2007</t>
  </si>
  <si>
    <t>Feb-2007</t>
  </si>
  <si>
    <t>Mar-2007</t>
  </si>
  <si>
    <t>Apr-2007</t>
  </si>
  <si>
    <t>May-2007</t>
  </si>
  <si>
    <t>Jun-2007</t>
  </si>
  <si>
    <t>Jul-2007</t>
  </si>
  <si>
    <t>Aug-2007</t>
  </si>
  <si>
    <t>Sep-2007</t>
  </si>
  <si>
    <t>Oct-2007</t>
  </si>
  <si>
    <t>Nov-2007</t>
  </si>
  <si>
    <t>Dec-2007</t>
  </si>
  <si>
    <t>Jan-2008</t>
  </si>
  <si>
    <t>Feb-2008</t>
  </si>
  <si>
    <t>Mar-2008</t>
  </si>
  <si>
    <t>Apr-2008</t>
  </si>
  <si>
    <t>May-2008</t>
  </si>
  <si>
    <t>Jun-2008</t>
  </si>
  <si>
    <t>Jul-2008</t>
  </si>
  <si>
    <t>Aug-2008</t>
  </si>
  <si>
    <t>Sep-2008</t>
  </si>
  <si>
    <t>Oct-2008</t>
  </si>
  <si>
    <t>Nov-2008</t>
  </si>
  <si>
    <t>Dec-2008</t>
  </si>
  <si>
    <t>Jan-2009</t>
  </si>
  <si>
    <t>Feb-2009</t>
  </si>
  <si>
    <t>Mar-2009</t>
  </si>
  <si>
    <t>Apr-2009</t>
  </si>
  <si>
    <t>May-2009</t>
  </si>
  <si>
    <t>Jun-2009</t>
  </si>
  <si>
    <t>Jul-2009</t>
  </si>
  <si>
    <t>Aug-2009</t>
  </si>
  <si>
    <t>Sep-2009</t>
  </si>
  <si>
    <t>Oct-2009</t>
  </si>
  <si>
    <t>Nov-2009</t>
  </si>
  <si>
    <t>Dec-2009</t>
  </si>
  <si>
    <t>Jan-2010</t>
  </si>
  <si>
    <t>Feb-2010</t>
  </si>
  <si>
    <t>Mar-2010</t>
  </si>
  <si>
    <t>Apr-2010</t>
  </si>
  <si>
    <t>May-2010</t>
  </si>
  <si>
    <t>Jun-2010</t>
  </si>
  <si>
    <t>Jul-2010</t>
  </si>
  <si>
    <t>Aug-2010</t>
  </si>
  <si>
    <t>Sep-2010</t>
  </si>
  <si>
    <t>Oct-2010</t>
  </si>
  <si>
    <t>Nov-2010</t>
  </si>
  <si>
    <t>Dec-2010</t>
  </si>
  <si>
    <t>Jan-2011</t>
  </si>
  <si>
    <t>Feb-2011</t>
  </si>
  <si>
    <t>Mar-2011</t>
  </si>
  <si>
    <t>Apr-2011</t>
  </si>
  <si>
    <t>May-2011</t>
  </si>
  <si>
    <t>Jun-2011</t>
  </si>
  <si>
    <t>Jul-2011</t>
  </si>
  <si>
    <t>Aug-2011</t>
  </si>
  <si>
    <t>Sep-2011</t>
  </si>
  <si>
    <t>Oct-2011</t>
  </si>
  <si>
    <t>Nov-2011</t>
  </si>
  <si>
    <t>Dec-2011</t>
  </si>
  <si>
    <t>Jan-2012</t>
  </si>
  <si>
    <t>Feb-2012</t>
  </si>
  <si>
    <t>Mar-2012</t>
  </si>
  <si>
    <t>Apr-2012</t>
  </si>
  <si>
    <t>May-2012</t>
  </si>
  <si>
    <t>Jun-2012</t>
  </si>
  <si>
    <t>Jul-2012</t>
  </si>
  <si>
    <t>Aug-2012</t>
  </si>
  <si>
    <t>Sep-2012</t>
  </si>
  <si>
    <t>Oct-2012</t>
  </si>
  <si>
    <t>Nov-2012</t>
  </si>
  <si>
    <t>Dec-2012</t>
  </si>
  <si>
    <t>Jan-2013</t>
  </si>
  <si>
    <t>Feb-2013</t>
  </si>
  <si>
    <t>Mar-2013</t>
  </si>
  <si>
    <t>Apr-2013</t>
  </si>
  <si>
    <t>May-2013</t>
  </si>
  <si>
    <t>Jun-2013</t>
  </si>
  <si>
    <t>Jul-2013</t>
  </si>
  <si>
    <t>Aug-2013</t>
  </si>
  <si>
    <t>Sep-2013</t>
  </si>
  <si>
    <t>Oct-2013</t>
  </si>
  <si>
    <t>Nov-2013</t>
  </si>
  <si>
    <t>Dec-2013</t>
  </si>
  <si>
    <t>Jan-2014</t>
  </si>
  <si>
    <t>Feb-2014</t>
  </si>
  <si>
    <t>Mar-2014</t>
  </si>
  <si>
    <t>Apr-2014</t>
  </si>
  <si>
    <t>May-2014</t>
  </si>
  <si>
    <t>Jun-2014</t>
  </si>
  <si>
    <t>Jul-2014</t>
  </si>
  <si>
    <t>Aug-2014</t>
  </si>
  <si>
    <t>Sep-2014</t>
  </si>
  <si>
    <t>Oct-2014</t>
  </si>
  <si>
    <t>Nov-2014</t>
  </si>
  <si>
    <t>Dec-2014</t>
  </si>
  <si>
    <t>Jan-2015</t>
  </si>
  <si>
    <t>Feb-2015</t>
  </si>
  <si>
    <t>Mar-2015</t>
  </si>
  <si>
    <t>Apr-2015</t>
  </si>
  <si>
    <t>May-2015</t>
  </si>
  <si>
    <t>Jun-2015</t>
  </si>
  <si>
    <t>Jul-2015</t>
  </si>
  <si>
    <t>Aug-2015</t>
  </si>
  <si>
    <t>Sep-2015</t>
  </si>
  <si>
    <t>Oct-2015</t>
  </si>
  <si>
    <t>Nov-2015</t>
  </si>
  <si>
    <t>Dec-2015</t>
  </si>
  <si>
    <t>Jan-2016</t>
  </si>
  <si>
    <t>Feb-2016</t>
  </si>
  <si>
    <t>Mar-2016</t>
  </si>
  <si>
    <t>Apr-2016</t>
  </si>
  <si>
    <t>May-2016</t>
  </si>
  <si>
    <t>Jun-2016</t>
  </si>
  <si>
    <t>Jul-2016</t>
  </si>
  <si>
    <t>Aug-2016</t>
  </si>
  <si>
    <t>Sep-2016</t>
  </si>
  <si>
    <t>Oct-2016</t>
  </si>
  <si>
    <t>Nov-2016</t>
  </si>
  <si>
    <t>Dec-2016</t>
  </si>
  <si>
    <t>Jan-2017</t>
  </si>
  <si>
    <t>Feb-2017</t>
  </si>
  <si>
    <t>Mar-2017</t>
  </si>
  <si>
    <t>Apr-2017</t>
  </si>
  <si>
    <t>May-2017</t>
  </si>
  <si>
    <t>Jun-2017</t>
  </si>
  <si>
    <t>Jul-2017</t>
  </si>
  <si>
    <t>Aug-2017</t>
  </si>
  <si>
    <t>Sep-2017</t>
  </si>
  <si>
    <t>Oct-2017</t>
  </si>
  <si>
    <t>Nov-2017</t>
  </si>
  <si>
    <t>Dec-2017</t>
  </si>
  <si>
    <t>Total deficit and deficit of public companies, percent of GDP</t>
  </si>
  <si>
    <t>total</t>
  </si>
  <si>
    <t>public companies</t>
  </si>
  <si>
    <t>External debt, percent of GDP</t>
  </si>
  <si>
    <t>total debt</t>
  </si>
  <si>
    <t>external adjusted by RER</t>
  </si>
  <si>
    <t>Net foreign reserves, percent of GDP</t>
  </si>
  <si>
    <t>External public debt, 1994 million USD</t>
  </si>
  <si>
    <t>Total credits, percent of GDP</t>
  </si>
  <si>
    <t>Multiple nominal exchange rate</t>
  </si>
  <si>
    <t>imports of the central government</t>
  </si>
  <si>
    <t>market</t>
  </si>
  <si>
    <t>monetary base</t>
  </si>
  <si>
    <t>external debt</t>
  </si>
  <si>
    <t>seigniorage</t>
  </si>
  <si>
    <t>Global deficit and transfers, percent of GDP</t>
  </si>
  <si>
    <t>global deficit</t>
  </si>
  <si>
    <t>transfers</t>
  </si>
  <si>
    <t>External debt, change in MB and seigniorage, percent of GDP</t>
  </si>
  <si>
    <t>Number of institutions</t>
  </si>
  <si>
    <t>Banks</t>
  </si>
  <si>
    <t>Financial Companies</t>
  </si>
  <si>
    <t>Number of  financial intermediaries</t>
  </si>
  <si>
    <t>banks</t>
  </si>
  <si>
    <t>financial companies</t>
  </si>
  <si>
    <t>Real exchange rate, log(2)</t>
  </si>
  <si>
    <t xml:space="preserve">Figure 7: Revenues and expenditures of the public sector, percentage of GDP </t>
  </si>
  <si>
    <t xml:space="preserve">Figure 8: Annual inflation and M0 growth </t>
  </si>
  <si>
    <t xml:space="preserve">Figure 9: Annual inflation rate and seigniorage as a share of GDP </t>
  </si>
  <si>
    <t>Revenues</t>
  </si>
  <si>
    <t>Expenditures</t>
  </si>
  <si>
    <t>M0 growth</t>
  </si>
  <si>
    <t>Seigniorage (right axis)</t>
  </si>
  <si>
    <t>Revenues and expenditures of the public sector, percent of GDP</t>
  </si>
  <si>
    <t>revenues</t>
  </si>
  <si>
    <t>expenditures</t>
  </si>
  <si>
    <t>Annual inflation and M0 growth rate, percent</t>
  </si>
  <si>
    <t>inflation</t>
  </si>
  <si>
    <t>Annual inflation rate and seigniorage, percent of GDP</t>
  </si>
  <si>
    <t>seigniorage (right axis)</t>
  </si>
  <si>
    <t>IRM</t>
  </si>
  <si>
    <t>Monetary base</t>
  </si>
  <si>
    <t>IRM/Monetary base*100</t>
  </si>
  <si>
    <t>Central bank securities, percent of M0</t>
  </si>
  <si>
    <t>imports of oil and derivatives</t>
  </si>
  <si>
    <t>imports of public companies</t>
  </si>
  <si>
    <t>public debt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</si>
</sst>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1" formatCode="_(* #,##0_);_(* \(#,##0\);_(* &quot;-&quot;_);_(@_)"/>
    <numFmt numFmtId="43" formatCode="_(* #,##0.00_);_(* \(#,##0.00\);_(* &quot;-&quot;??_);_(@_)"/>
    <numFmt numFmtId="164" formatCode="_-* #,##0_-;\-* #,##0_-;_-* &quot;-&quot;_-;_-@_-"/>
    <numFmt numFmtId="165" formatCode="_([$€]* #,##0.00_);_([$€]* \(#,##0.00\);_([$€]* &quot;-&quot;??_);_(@_)"/>
    <numFmt numFmtId="166" formatCode="0.00000"/>
    <numFmt numFmtId="167" formatCode="#,##0.000"/>
    <numFmt numFmtId="168" formatCode="#,##0.0000"/>
    <numFmt numFmtId="169" formatCode="0.0"/>
    <numFmt numFmtId="170" formatCode="0.0000"/>
    <numFmt numFmtId="171" formatCode="#,##0.00000"/>
    <numFmt numFmtId="172" formatCode="0.0%"/>
    <numFmt numFmtId="173" formatCode="0.000"/>
    <numFmt numFmtId="174" formatCode="0.0000%"/>
    <numFmt numFmtId="175" formatCode="yyyy\-mm\-dd"/>
    <numFmt numFmtId="176" formatCode="#,##0.0"/>
    <numFmt numFmtId="177" formatCode="_-* #,##0.00\ &quot;€&quot;_-;\-* #,##0.00\ &quot;€&quot;_-;_-* &quot;-&quot;??\ &quot;€&quot;_-;_-@_-"/>
    <numFmt numFmtId="178" formatCode="_-* #,##0.00\ _€_-;\-* #,##0.00\ _€_-;_-* &quot;-&quot;??\ _€_-;_-@_-"/>
    <numFmt numFmtId="179" formatCode="_([$€]* #.##0.00_);_([$€]* \(#.##0.00\);_([$€]* &quot;-&quot;??_);_(@_)"/>
    <numFmt numFmtId="180" formatCode="_-* #.##0.00\ _P_t_s_-;\-* #.##0.00\ _P_t_s_-;_-* &quot;-&quot;??\ _P_t_s_-;_-@_-"/>
    <numFmt numFmtId="181" formatCode="0.000%"/>
  </numFmts>
  <fonts count="93">
    <font>
      <sz val="11"/>
      <color theme="1"/>
      <name val="Calibri"/>
      <family val="2"/>
      <scheme val="minor"/>
    </font>
    <font>
      <sz val="10"/>
      <name val="Arial"/>
      <family val="2"/>
    </font>
    <font>
      <sz val="9"/>
      <color indexed="81"/>
      <name val="Tahoma"/>
      <family val="2"/>
    </font>
    <font>
      <b/>
      <sz val="9"/>
      <color indexed="81"/>
      <name val="Tahoma"/>
      <family val="2"/>
    </font>
    <font>
      <sz val="8"/>
      <color theme="1"/>
      <name val="Calibri"/>
      <family val="2"/>
      <scheme val="minor"/>
    </font>
    <font>
      <sz val="8"/>
      <name val="Calibri"/>
      <family val="2"/>
      <scheme val="minor"/>
    </font>
    <font>
      <sz val="8"/>
      <color rgb="FFFF0000"/>
      <name val="Calibri"/>
      <family val="2"/>
      <scheme val="minor"/>
    </font>
    <font>
      <b/>
      <sz val="8"/>
      <color theme="1"/>
      <name val="Calibri"/>
      <family val="2"/>
      <scheme val="minor"/>
    </font>
    <font>
      <b/>
      <sz val="11"/>
      <color theme="1"/>
      <name val="Calibri"/>
      <family val="2"/>
      <scheme val="minor"/>
    </font>
    <font>
      <b/>
      <sz val="9"/>
      <color theme="1"/>
      <name val="Calibri"/>
      <family val="2"/>
      <scheme val="minor"/>
    </font>
    <font>
      <b/>
      <sz val="9"/>
      <name val="Calibri"/>
      <family val="2"/>
      <scheme val="minor"/>
    </font>
    <font>
      <b/>
      <sz val="8"/>
      <name val="Calibri"/>
      <family val="2"/>
      <scheme val="minor"/>
    </font>
    <font>
      <sz val="11"/>
      <name val="Calibri"/>
      <family val="2"/>
      <scheme val="minor"/>
    </font>
    <font>
      <u/>
      <sz val="11"/>
      <color theme="10"/>
      <name val="Calibri"/>
      <family val="2"/>
      <scheme val="minor"/>
    </font>
    <font>
      <sz val="10"/>
      <name val="Times New Roman"/>
      <family val="1"/>
    </font>
    <font>
      <sz val="11"/>
      <color rgb="FF9C0006"/>
      <name val="Calibri"/>
      <family val="2"/>
      <scheme val="minor"/>
    </font>
    <font>
      <sz val="11"/>
      <color rgb="FFFA7D00"/>
      <name val="Calibri"/>
      <family val="2"/>
      <scheme val="minor"/>
    </font>
    <font>
      <sz val="8"/>
      <color rgb="FF9C0006"/>
      <name val="Calibri"/>
      <family val="2"/>
      <scheme val="minor"/>
    </font>
    <font>
      <b/>
      <sz val="8"/>
      <color rgb="FFFF0000"/>
      <name val="Calibri"/>
      <family val="2"/>
      <scheme val="minor"/>
    </font>
    <font>
      <sz val="11"/>
      <color rgb="FFFF0000"/>
      <name val="Calibri"/>
      <family val="2"/>
      <scheme val="minor"/>
    </font>
    <font>
      <b/>
      <sz val="12"/>
      <color theme="1"/>
      <name val="Calibri"/>
      <family val="2"/>
      <scheme val="minor"/>
    </font>
    <font>
      <sz val="11"/>
      <color theme="1"/>
      <name val="Calibri"/>
      <family val="2"/>
      <scheme val="minor"/>
    </font>
    <font>
      <u/>
      <sz val="12"/>
      <color theme="10"/>
      <name val="Calibri"/>
      <family val="2"/>
      <scheme val="minor"/>
    </font>
    <font>
      <sz val="12"/>
      <color theme="1"/>
      <name val="Calibri"/>
      <family val="2"/>
      <scheme val="minor"/>
    </font>
    <font>
      <sz val="12"/>
      <name val="Calibri"/>
      <family val="2"/>
      <scheme val="minor"/>
    </font>
    <font>
      <b/>
      <sz val="12"/>
      <color rgb="FFFF0000"/>
      <name val="Calibri"/>
      <family val="2"/>
      <scheme val="minor"/>
    </font>
    <font>
      <b/>
      <sz val="11"/>
      <color theme="0"/>
      <name val="Calibri"/>
      <family val="2"/>
      <scheme val="minor"/>
    </font>
    <font>
      <sz val="11"/>
      <color rgb="FF006100"/>
      <name val="Calibri"/>
      <family val="2"/>
      <scheme val="minor"/>
    </font>
    <font>
      <sz val="11"/>
      <color rgb="FF9C6500"/>
      <name val="Calibri"/>
      <family val="2"/>
      <scheme val="minor"/>
    </font>
    <font>
      <sz val="11"/>
      <color theme="0"/>
      <name val="Calibri"/>
      <family val="2"/>
      <scheme val="minor"/>
    </font>
    <font>
      <b/>
      <sz val="12"/>
      <name val="Calibri"/>
      <family val="2"/>
      <scheme val="minor"/>
    </font>
    <font>
      <b/>
      <sz val="12"/>
      <color rgb="FFFFFF00"/>
      <name val="Calibri"/>
      <family val="2"/>
      <scheme val="minor"/>
    </font>
    <font>
      <b/>
      <sz val="11"/>
      <name val="Calibri"/>
      <family val="2"/>
      <scheme val="minor"/>
    </font>
    <font>
      <b/>
      <sz val="10"/>
      <name val="Arial"/>
      <family val="2"/>
    </font>
    <font>
      <sz val="9"/>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11"/>
      <color theme="10"/>
      <name val="Cambria"/>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color indexed="12"/>
      <name val="Arial"/>
      <family val="2"/>
    </font>
    <font>
      <u/>
      <sz val="10"/>
      <color indexed="12"/>
      <name val="Times New Roman"/>
      <family val="1"/>
    </font>
    <font>
      <b/>
      <sz val="12"/>
      <color indexed="8"/>
      <name val="Calibri"/>
      <family val="2"/>
    </font>
    <font>
      <sz val="12"/>
      <color indexed="8"/>
      <name val="Calibri"/>
      <family val="2"/>
    </font>
    <font>
      <sz val="12"/>
      <color rgb="FFFF0000"/>
      <name val="Calibri"/>
      <family val="2"/>
      <scheme val="minor"/>
    </font>
    <font>
      <b/>
      <sz val="11"/>
      <color rgb="FFFF0000"/>
      <name val="Calibri"/>
      <family val="2"/>
      <scheme val="minor"/>
    </font>
    <font>
      <b/>
      <i/>
      <sz val="11"/>
      <name val="Calibri"/>
      <family val="2"/>
      <scheme val="minor"/>
    </font>
    <font>
      <b/>
      <i/>
      <sz val="11"/>
      <color theme="1"/>
      <name val="Calibri"/>
      <family val="2"/>
      <scheme val="minor"/>
    </font>
    <font>
      <b/>
      <sz val="9"/>
      <color rgb="FFFFFF00"/>
      <name val="Calibri"/>
      <family val="2"/>
      <scheme val="minor"/>
    </font>
    <font>
      <sz val="10"/>
      <color theme="1"/>
      <name val="Calibri"/>
      <family val="2"/>
      <scheme val="minor"/>
    </font>
    <font>
      <b/>
      <sz val="10"/>
      <color theme="1"/>
      <name val="Calibri"/>
      <family val="2"/>
      <scheme val="minor"/>
    </font>
    <font>
      <sz val="9"/>
      <name val="Calibri"/>
      <family val="2"/>
      <scheme val="minor"/>
    </font>
    <font>
      <b/>
      <sz val="10"/>
      <color theme="1"/>
      <name val="Arial"/>
      <family val="2"/>
    </font>
    <font>
      <sz val="10"/>
      <color theme="1"/>
      <name val="Arial"/>
      <family val="2"/>
    </font>
    <font>
      <b/>
      <sz val="11"/>
      <color theme="1"/>
      <name val="Arial"/>
      <family val="2"/>
    </font>
    <font>
      <sz val="10"/>
      <color rgb="FF000000"/>
      <name val="Lucida Sans Unicode"/>
      <family val="2"/>
    </font>
    <font>
      <sz val="10"/>
      <color rgb="FF000000"/>
      <name val="Calibri"/>
      <family val="2"/>
      <scheme val="minor"/>
    </font>
    <font>
      <sz val="10"/>
      <color rgb="FF9C0006"/>
      <name val="Calibri"/>
      <family val="2"/>
      <scheme val="minor"/>
    </font>
    <font>
      <b/>
      <sz val="10"/>
      <color rgb="FF000000"/>
      <name val="Calibri"/>
      <family val="2"/>
      <scheme val="minor"/>
    </font>
    <font>
      <sz val="10"/>
      <name val="Calibri"/>
      <family val="2"/>
      <scheme val="minor"/>
    </font>
    <font>
      <i/>
      <u/>
      <sz val="11"/>
      <color theme="1"/>
      <name val="Calibri"/>
      <family val="2"/>
      <scheme val="minor"/>
    </font>
    <font>
      <u/>
      <sz val="11"/>
      <color theme="11"/>
      <name val="Calibri"/>
      <family val="2"/>
      <scheme val="minor"/>
    </font>
    <font>
      <sz val="8"/>
      <name val="Humanst521 BT"/>
      <family val="2"/>
    </font>
    <font>
      <b/>
      <sz val="9"/>
      <color rgb="FF000000"/>
      <name val="Tahoma"/>
      <family val="2"/>
    </font>
    <font>
      <sz val="9"/>
      <color rgb="FF000000"/>
      <name val="Tahoma"/>
      <family val="2"/>
    </font>
    <font>
      <b/>
      <sz val="10"/>
      <color rgb="FF000000"/>
      <name val="Arial"/>
      <family val="2"/>
    </font>
    <font>
      <b/>
      <sz val="14"/>
      <color theme="1"/>
      <name val="Calibri"/>
      <family val="2"/>
      <scheme val="minor"/>
    </font>
    <font>
      <sz val="14"/>
      <color theme="1"/>
      <name val="Calibri"/>
      <family val="2"/>
      <scheme val="minor"/>
    </font>
    <font>
      <b/>
      <sz val="11"/>
      <color theme="1"/>
      <name val="CMR10"/>
    </font>
    <font>
      <sz val="11"/>
      <color theme="1"/>
      <name val="CMR10"/>
    </font>
    <font>
      <b/>
      <sz val="8"/>
      <name val="Humanst521 BT"/>
      <family val="2"/>
    </font>
    <font>
      <b/>
      <sz val="8"/>
      <color indexed="8"/>
      <name val="Humanst521 BT"/>
      <family val="2"/>
    </font>
  </fonts>
  <fills count="7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C7CE"/>
      </patternFill>
    </fill>
    <fill>
      <patternFill patternType="solid">
        <fgColor rgb="FFFF000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00B0F0"/>
        <bgColor indexed="64"/>
      </patternFill>
    </fill>
    <fill>
      <patternFill patternType="solid">
        <fgColor rgb="FFC6EFCE"/>
      </patternFill>
    </fill>
    <fill>
      <patternFill patternType="solid">
        <fgColor rgb="FFFFEB9C"/>
      </patternFill>
    </fill>
    <fill>
      <patternFill patternType="solid">
        <fgColor theme="7" tint="0.39997558519241921"/>
        <bgColor indexed="65"/>
      </patternFill>
    </fill>
    <fill>
      <patternFill patternType="solid">
        <fgColor theme="6" tint="0.79998168889431442"/>
        <bgColor indexed="64"/>
      </patternFill>
    </fill>
    <fill>
      <patternFill patternType="solid">
        <fgColor rgb="FFFFC00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3" tint="-0.249977111117893"/>
        <bgColor indexed="64"/>
      </patternFill>
    </fill>
    <fill>
      <patternFill patternType="solid">
        <fgColor theme="3" tint="0.59999389629810485"/>
        <bgColor indexed="64"/>
      </patternFill>
    </fill>
    <fill>
      <patternFill patternType="solid">
        <fgColor theme="0"/>
        <bgColor rgb="FFF2F2F2"/>
      </patternFill>
    </fill>
    <fill>
      <patternFill patternType="solid">
        <fgColor theme="0"/>
      </patternFill>
    </fill>
    <fill>
      <patternFill patternType="solid">
        <fgColor theme="5" tint="0.79998168889431442"/>
        <bgColor rgb="FFF2F2F2"/>
      </patternFill>
    </fill>
    <fill>
      <patternFill patternType="solid">
        <fgColor theme="5" tint="0.79998168889431442"/>
        <bgColor indexed="64"/>
      </patternFill>
    </fill>
  </fills>
  <borders count="37">
    <border>
      <left/>
      <right/>
      <top/>
      <bottom/>
      <diagonal/>
    </border>
    <border>
      <left/>
      <right/>
      <top/>
      <bottom style="double">
        <color rgb="FFFF8001"/>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medium">
        <color auto="1"/>
      </bottom>
      <diagonal/>
    </border>
    <border>
      <left/>
      <right/>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double">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ck">
        <color indexed="16"/>
      </top>
      <bottom/>
      <diagonal/>
    </border>
    <border>
      <left/>
      <right/>
      <top style="medium">
        <color auto="1"/>
      </top>
      <bottom/>
      <diagonal/>
    </border>
    <border>
      <left style="medium">
        <color auto="1"/>
      </left>
      <right/>
      <top/>
      <bottom/>
      <diagonal/>
    </border>
    <border>
      <left/>
      <right/>
      <top style="thin">
        <color auto="1"/>
      </top>
      <bottom style="double">
        <color auto="1"/>
      </bottom>
      <diagonal/>
    </border>
    <border>
      <left/>
      <right/>
      <top style="double">
        <color auto="1"/>
      </top>
      <bottom style="double">
        <color auto="1"/>
      </bottom>
      <diagonal/>
    </border>
    <border>
      <left/>
      <right/>
      <top style="double">
        <color auto="1"/>
      </top>
      <bottom style="thin">
        <color auto="1"/>
      </bottom>
      <diagonal/>
    </border>
    <border>
      <left/>
      <right/>
      <top/>
      <bottom style="medium">
        <color indexed="64"/>
      </bottom>
      <diagonal/>
    </border>
    <border>
      <left/>
      <right/>
      <top style="medium">
        <color indexed="64"/>
      </top>
      <bottom style="medium">
        <color indexed="64"/>
      </bottom>
      <diagonal/>
    </border>
  </borders>
  <cellStyleXfs count="2287">
    <xf numFmtId="0" fontId="0" fillId="0" borderId="0"/>
    <xf numFmtId="0" fontId="1" fillId="0" borderId="0"/>
    <xf numFmtId="0" fontId="1" fillId="0" borderId="0" applyNumberFormat="0" applyFill="0" applyBorder="0" applyAlignment="0" applyProtection="0"/>
    <xf numFmtId="0" fontId="13" fillId="0" borderId="0" applyNumberFormat="0" applyFill="0" applyBorder="0" applyAlignment="0" applyProtection="0"/>
    <xf numFmtId="0" fontId="1" fillId="0" borderId="0" applyNumberFormat="0" applyFill="0" applyBorder="0" applyAlignment="0" applyProtection="0"/>
    <xf numFmtId="165" fontId="14" fillId="0" borderId="0" applyNumberFormat="0" applyFill="0" applyBorder="0" applyAlignment="0" applyProtection="0"/>
    <xf numFmtId="0" fontId="15" fillId="6" borderId="0" applyNumberFormat="0" applyBorder="0" applyAlignment="0" applyProtection="0"/>
    <xf numFmtId="9" fontId="21" fillId="0" borderId="0" applyFont="0" applyFill="0" applyBorder="0" applyAlignment="0" applyProtection="0"/>
    <xf numFmtId="0" fontId="1" fillId="0" borderId="0" applyNumberFormat="0" applyFill="0" applyBorder="0" applyAlignment="0" applyProtection="0"/>
    <xf numFmtId="0" fontId="27" fillId="11" borderId="0" applyNumberFormat="0" applyBorder="0" applyAlignment="0" applyProtection="0"/>
    <xf numFmtId="0" fontId="28" fillId="12" borderId="0" applyNumberFormat="0" applyBorder="0" applyAlignment="0" applyProtection="0"/>
    <xf numFmtId="0" fontId="29" fillId="13" borderId="0" applyNumberFormat="0" applyBorder="0" applyAlignment="0" applyProtection="0"/>
    <xf numFmtId="0" fontId="43" fillId="0" borderId="0" applyNumberFormat="0" applyFill="0" applyBorder="0" applyAlignment="0" applyProtection="0"/>
    <xf numFmtId="165" fontId="14" fillId="0" borderId="0" applyNumberFormat="0" applyFill="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21" fillId="21"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3"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21" fillId="25"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4"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21" fillId="29"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5"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21" fillId="33"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21" fillId="36"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7"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21" fillId="40"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8"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21" fillId="22"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21" fillId="26"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0"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21" fillId="30"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51"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21" fillId="34"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6"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21" fillId="37"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49"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21" fillId="41"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4" fillId="52"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29" fillId="2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3"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29" fillId="27"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0"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29" fillId="3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1"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29" fillId="13"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29" fillId="38"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29" fillId="42"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45" fillId="56" borderId="0" applyNumberFormat="0" applyBorder="0" applyAlignment="0" applyProtection="0"/>
    <xf numFmtId="165" fontId="14" fillId="0" borderId="0" applyNumberFormat="0" applyFill="0" applyBorder="0" applyAlignment="0" applyProtection="0"/>
    <xf numFmtId="165" fontId="14" fillId="0" borderId="0" applyNumberFormat="0" applyFill="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27" fillId="11"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6" fillId="45" borderId="0" applyNumberFormat="0" applyBorder="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1" fillId="17" borderId="11"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7" fillId="57" borderId="16"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26" fillId="18" borderId="13"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8" fillId="58" borderId="17" applyNumberFormat="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16" fillId="0" borderId="1"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49" fillId="0" borderId="18" applyNumberFormat="0" applyFill="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38"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50" fillId="0" borderId="0" applyNumberFormat="0" applyFill="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29" fillId="20"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59"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29" fillId="24"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0"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29" fillId="28"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61"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29" fillId="32"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4"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29" fillId="3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55"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29" fillId="39"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45" fillId="62" borderId="0" applyNumberFormat="0" applyBorder="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39" fillId="16" borderId="11"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51" fillId="48" borderId="16" applyNumberFormat="0" applyAlignment="0" applyProtection="0"/>
    <xf numFmtId="165" fontId="1" fillId="0" borderId="0" applyNumberFormat="0" applyFont="0" applyFill="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15" fillId="6"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165" fontId="52" fillId="44" borderId="0" applyNumberFormat="0" applyBorder="0" applyAlignment="0" applyProtection="0"/>
    <xf numFmtId="43" fontId="14" fillId="0" borderId="0" applyFont="0" applyFill="0" applyBorder="0" applyAlignment="0" applyProtection="0"/>
    <xf numFmtId="43" fontId="14" fillId="0" borderId="0" applyFont="0" applyFill="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28" fillId="12"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53" fillId="63" borderId="0" applyNumberFormat="0" applyBorder="0" applyAlignment="0" applyProtection="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1" fillId="0" borderId="0" applyNumberFormat="0" applyFill="0" applyBorder="0" applyAlignment="0" applyProtection="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44" fillId="0" borderId="0"/>
    <xf numFmtId="165" fontId="14" fillId="0" borderId="0" applyNumberFormat="0" applyFill="0" applyBorder="0" applyAlignment="0" applyProtection="0"/>
    <xf numFmtId="165" fontId="21" fillId="0" borderId="0"/>
    <xf numFmtId="165" fontId="21" fillId="0" borderId="0"/>
    <xf numFmtId="165" fontId="21" fillId="0" borderId="0"/>
    <xf numFmtId="165" fontId="44"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44"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44" fillId="0" borderId="0"/>
    <xf numFmtId="165" fontId="44" fillId="0" borderId="0"/>
    <xf numFmtId="165" fontId="44" fillId="0" borderId="0"/>
    <xf numFmtId="165" fontId="1"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19" borderId="14"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165" fontId="44" fillId="64" borderId="19" applyNumberFormat="0" applyFont="0" applyAlignment="0" applyProtection="0"/>
    <xf numFmtId="9" fontId="14" fillId="0" borderId="0" applyFont="0" applyFill="0" applyBorder="0" applyAlignment="0" applyProtection="0"/>
    <xf numFmtId="9" fontId="1" fillId="0" borderId="0" applyFont="0" applyFill="0" applyBorder="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40" fillId="17" borderId="12"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4" fillId="57" borderId="20" applyNumberFormat="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19"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5"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42"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6" fillId="0" borderId="0" applyNumberFormat="0" applyFill="0" applyBorder="0" applyAlignment="0" applyProtection="0"/>
    <xf numFmtId="165" fontId="57" fillId="0" borderId="0" applyNumberFormat="0" applyFill="0" applyBorder="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36" fillId="0" borderId="8"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8" fillId="0" borderId="21" applyNumberFormat="0" applyFill="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37" fillId="0" borderId="9"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9" fillId="0" borderId="22" applyNumberFormat="0" applyFill="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38" fillId="0" borderId="10"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0" fillId="0" borderId="23" applyNumberFormat="0" applyFill="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35"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57" fillId="0" borderId="0" applyNumberFormat="0" applyFill="0" applyBorder="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8" fillId="0" borderId="15"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60" fillId="0" borderId="24" applyNumberFormat="0" applyFill="0" applyAlignment="0" applyProtection="0"/>
    <xf numFmtId="165" fontId="14" fillId="0" borderId="0" applyNumberFormat="0" applyFill="0" applyBorder="0" applyAlignment="0" applyProtection="0"/>
    <xf numFmtId="165" fontId="21" fillId="21" borderId="0" applyNumberFormat="0" applyBorder="0" applyAlignment="0" applyProtection="0"/>
    <xf numFmtId="165" fontId="21" fillId="25" borderId="0" applyNumberFormat="0" applyBorder="0" applyAlignment="0" applyProtection="0"/>
    <xf numFmtId="165" fontId="21" fillId="29" borderId="0" applyNumberFormat="0" applyBorder="0" applyAlignment="0" applyProtection="0"/>
    <xf numFmtId="165" fontId="21" fillId="33" borderId="0" applyNumberFormat="0" applyBorder="0" applyAlignment="0" applyProtection="0"/>
    <xf numFmtId="165" fontId="21" fillId="36" borderId="0" applyNumberFormat="0" applyBorder="0" applyAlignment="0" applyProtection="0"/>
    <xf numFmtId="165" fontId="21" fillId="40" borderId="0" applyNumberFormat="0" applyBorder="0" applyAlignment="0" applyProtection="0"/>
    <xf numFmtId="165" fontId="21" fillId="22" borderId="0" applyNumberFormat="0" applyBorder="0" applyAlignment="0" applyProtection="0"/>
    <xf numFmtId="165" fontId="21" fillId="26" borderId="0" applyNumberFormat="0" applyBorder="0" applyAlignment="0" applyProtection="0"/>
    <xf numFmtId="165" fontId="21" fillId="30" borderId="0" applyNumberFormat="0" applyBorder="0" applyAlignment="0" applyProtection="0"/>
    <xf numFmtId="165" fontId="21" fillId="34" borderId="0" applyNumberFormat="0" applyBorder="0" applyAlignment="0" applyProtection="0"/>
    <xf numFmtId="165" fontId="21" fillId="37" borderId="0" applyNumberFormat="0" applyBorder="0" applyAlignment="0" applyProtection="0"/>
    <xf numFmtId="165" fontId="21" fillId="41" borderId="0" applyNumberFormat="0" applyBorder="0" applyAlignment="0" applyProtection="0"/>
    <xf numFmtId="43" fontId="14" fillId="0" borderId="0" applyFont="0" applyFill="0" applyBorder="0" applyAlignment="0" applyProtection="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1" fillId="64" borderId="19" applyNumberFormat="0" applyFont="0" applyAlignment="0" applyProtection="0"/>
    <xf numFmtId="165" fontId="44" fillId="19" borderId="14" applyNumberFormat="0" applyFont="0" applyAlignment="0" applyProtection="0"/>
    <xf numFmtId="165" fontId="14" fillId="0" borderId="0" applyNumberFormat="0" applyFill="0" applyBorder="0" applyAlignment="0" applyProtection="0"/>
    <xf numFmtId="165" fontId="14" fillId="0" borderId="0" applyNumberFormat="0" applyFill="0" applyBorder="0" applyAlignment="0" applyProtection="0"/>
    <xf numFmtId="165" fontId="14" fillId="0" borderId="0" applyNumberFormat="0" applyFill="0" applyBorder="0" applyAlignment="0" applyProtection="0"/>
    <xf numFmtId="165" fontId="14" fillId="0" borderId="0" applyNumberFormat="0" applyFill="0" applyBorder="0" applyAlignment="0" applyProtection="0"/>
    <xf numFmtId="165" fontId="21" fillId="21" borderId="0" applyNumberFormat="0" applyBorder="0" applyAlignment="0" applyProtection="0"/>
    <xf numFmtId="165" fontId="21" fillId="25" borderId="0" applyNumberFormat="0" applyBorder="0" applyAlignment="0" applyProtection="0"/>
    <xf numFmtId="165" fontId="21" fillId="29" borderId="0" applyNumberFormat="0" applyBorder="0" applyAlignment="0" applyProtection="0"/>
    <xf numFmtId="165" fontId="21" fillId="33" borderId="0" applyNumberFormat="0" applyBorder="0" applyAlignment="0" applyProtection="0"/>
    <xf numFmtId="165" fontId="21" fillId="36" borderId="0" applyNumberFormat="0" applyBorder="0" applyAlignment="0" applyProtection="0"/>
    <xf numFmtId="165" fontId="21" fillId="40" borderId="0" applyNumberFormat="0" applyBorder="0" applyAlignment="0" applyProtection="0"/>
    <xf numFmtId="165" fontId="21" fillId="22" borderId="0" applyNumberFormat="0" applyBorder="0" applyAlignment="0" applyProtection="0"/>
    <xf numFmtId="165" fontId="21" fillId="26" borderId="0" applyNumberFormat="0" applyBorder="0" applyAlignment="0" applyProtection="0"/>
    <xf numFmtId="165" fontId="21" fillId="30" borderId="0" applyNumberFormat="0" applyBorder="0" applyAlignment="0" applyProtection="0"/>
    <xf numFmtId="165" fontId="21" fillId="34" borderId="0" applyNumberFormat="0" applyBorder="0" applyAlignment="0" applyProtection="0"/>
    <xf numFmtId="165" fontId="21" fillId="37" borderId="0" applyNumberFormat="0" applyBorder="0" applyAlignment="0" applyProtection="0"/>
    <xf numFmtId="165" fontId="21" fillId="41" borderId="0" applyNumberFormat="0" applyBorder="0" applyAlignment="0" applyProtection="0"/>
    <xf numFmtId="165" fontId="14" fillId="0" borderId="0" applyNumberForma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43" fontId="14" fillId="0" borderId="0" applyFont="0" applyFill="0" applyBorder="0" applyAlignment="0" applyProtection="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1" fillId="64" borderId="19" applyNumberFormat="0" applyFont="0" applyAlignment="0" applyProtection="0"/>
    <xf numFmtId="165" fontId="44" fillId="19" borderId="14" applyNumberFormat="0" applyFont="0" applyAlignment="0" applyProtection="0"/>
    <xf numFmtId="165" fontId="1" fillId="0" borderId="0"/>
    <xf numFmtId="165" fontId="1" fillId="0" borderId="0" applyNumberFormat="0" applyFill="0" applyBorder="0" applyAlignment="0" applyProtection="0"/>
    <xf numFmtId="177" fontId="14" fillId="0" borderId="0" applyFont="0" applyFill="0" applyBorder="0" applyAlignment="0" applyProtection="0"/>
    <xf numFmtId="165" fontId="1" fillId="0" borderId="0"/>
    <xf numFmtId="165" fontId="1" fillId="0" borderId="0"/>
    <xf numFmtId="165" fontId="21" fillId="21" borderId="0" applyNumberFormat="0" applyBorder="0" applyAlignment="0" applyProtection="0"/>
    <xf numFmtId="165" fontId="21" fillId="25" borderId="0" applyNumberFormat="0" applyBorder="0" applyAlignment="0" applyProtection="0"/>
    <xf numFmtId="165" fontId="21" fillId="29" borderId="0" applyNumberFormat="0" applyBorder="0" applyAlignment="0" applyProtection="0"/>
    <xf numFmtId="165" fontId="21" fillId="33" borderId="0" applyNumberFormat="0" applyBorder="0" applyAlignment="0" applyProtection="0"/>
    <xf numFmtId="165" fontId="21" fillId="36" borderId="0" applyNumberFormat="0" applyBorder="0" applyAlignment="0" applyProtection="0"/>
    <xf numFmtId="165" fontId="21" fillId="40" borderId="0" applyNumberFormat="0" applyBorder="0" applyAlignment="0" applyProtection="0"/>
    <xf numFmtId="165" fontId="21" fillId="22" borderId="0" applyNumberFormat="0" applyBorder="0" applyAlignment="0" applyProtection="0"/>
    <xf numFmtId="165" fontId="21" fillId="26" borderId="0" applyNumberFormat="0" applyBorder="0" applyAlignment="0" applyProtection="0"/>
    <xf numFmtId="165" fontId="21" fillId="30" borderId="0" applyNumberFormat="0" applyBorder="0" applyAlignment="0" applyProtection="0"/>
    <xf numFmtId="165" fontId="21" fillId="34" borderId="0" applyNumberFormat="0" applyBorder="0" applyAlignment="0" applyProtection="0"/>
    <xf numFmtId="165" fontId="21" fillId="37" borderId="0" applyNumberFormat="0" applyBorder="0" applyAlignment="0" applyProtection="0"/>
    <xf numFmtId="165" fontId="21" fillId="41" borderId="0" applyNumberFormat="0" applyBorder="0" applyAlignment="0" applyProtection="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21" borderId="0" applyNumberFormat="0" applyBorder="0" applyAlignment="0" applyProtection="0"/>
    <xf numFmtId="165" fontId="21" fillId="25" borderId="0" applyNumberFormat="0" applyBorder="0" applyAlignment="0" applyProtection="0"/>
    <xf numFmtId="165" fontId="21" fillId="29" borderId="0" applyNumberFormat="0" applyBorder="0" applyAlignment="0" applyProtection="0"/>
    <xf numFmtId="165" fontId="21" fillId="33" borderId="0" applyNumberFormat="0" applyBorder="0" applyAlignment="0" applyProtection="0"/>
    <xf numFmtId="165" fontId="21" fillId="36" borderId="0" applyNumberFormat="0" applyBorder="0" applyAlignment="0" applyProtection="0"/>
    <xf numFmtId="165" fontId="21" fillId="40" borderId="0" applyNumberFormat="0" applyBorder="0" applyAlignment="0" applyProtection="0"/>
    <xf numFmtId="165" fontId="21" fillId="22" borderId="0" applyNumberFormat="0" applyBorder="0" applyAlignment="0" applyProtection="0"/>
    <xf numFmtId="165" fontId="21" fillId="26" borderId="0" applyNumberFormat="0" applyBorder="0" applyAlignment="0" applyProtection="0"/>
    <xf numFmtId="165" fontId="21" fillId="30" borderId="0" applyNumberFormat="0" applyBorder="0" applyAlignment="0" applyProtection="0"/>
    <xf numFmtId="165" fontId="21" fillId="34" borderId="0" applyNumberFormat="0" applyBorder="0" applyAlignment="0" applyProtection="0"/>
    <xf numFmtId="165" fontId="21" fillId="37" borderId="0" applyNumberFormat="0" applyBorder="0" applyAlignment="0" applyProtection="0"/>
    <xf numFmtId="165" fontId="21" fillId="41" borderId="0" applyNumberFormat="0" applyBorder="0" applyAlignment="0" applyProtection="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21" borderId="0" applyNumberFormat="0" applyBorder="0" applyAlignment="0" applyProtection="0"/>
    <xf numFmtId="165" fontId="21" fillId="25" borderId="0" applyNumberFormat="0" applyBorder="0" applyAlignment="0" applyProtection="0"/>
    <xf numFmtId="165" fontId="21" fillId="29" borderId="0" applyNumberFormat="0" applyBorder="0" applyAlignment="0" applyProtection="0"/>
    <xf numFmtId="165" fontId="21" fillId="33" borderId="0" applyNumberFormat="0" applyBorder="0" applyAlignment="0" applyProtection="0"/>
    <xf numFmtId="165" fontId="21" fillId="36" borderId="0" applyNumberFormat="0" applyBorder="0" applyAlignment="0" applyProtection="0"/>
    <xf numFmtId="165" fontId="21" fillId="40" borderId="0" applyNumberFormat="0" applyBorder="0" applyAlignment="0" applyProtection="0"/>
    <xf numFmtId="165" fontId="21" fillId="22" borderId="0" applyNumberFormat="0" applyBorder="0" applyAlignment="0" applyProtection="0"/>
    <xf numFmtId="165" fontId="21" fillId="26" borderId="0" applyNumberFormat="0" applyBorder="0" applyAlignment="0" applyProtection="0"/>
    <xf numFmtId="165" fontId="21" fillId="30" borderId="0" applyNumberFormat="0" applyBorder="0" applyAlignment="0" applyProtection="0"/>
    <xf numFmtId="165" fontId="21" fillId="34" borderId="0" applyNumberFormat="0" applyBorder="0" applyAlignment="0" applyProtection="0"/>
    <xf numFmtId="165" fontId="21" fillId="37" borderId="0" applyNumberFormat="0" applyBorder="0" applyAlignment="0" applyProtection="0"/>
    <xf numFmtId="165" fontId="21" fillId="41" borderId="0" applyNumberFormat="0" applyBorder="0" applyAlignment="0" applyProtection="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1" fillId="0" borderId="0"/>
    <xf numFmtId="9" fontId="1" fillId="0" borderId="0" applyFont="0" applyFill="0" applyBorder="0" applyAlignment="0" applyProtection="0"/>
    <xf numFmtId="43" fontId="1" fillId="0" borderId="0" applyFont="0" applyFill="0" applyBorder="0" applyAlignment="0" applyProtection="0"/>
    <xf numFmtId="165" fontId="21" fillId="21" borderId="0" applyNumberFormat="0" applyBorder="0" applyAlignment="0" applyProtection="0"/>
    <xf numFmtId="165" fontId="21" fillId="25" borderId="0" applyNumberFormat="0" applyBorder="0" applyAlignment="0" applyProtection="0"/>
    <xf numFmtId="165" fontId="21" fillId="29" borderId="0" applyNumberFormat="0" applyBorder="0" applyAlignment="0" applyProtection="0"/>
    <xf numFmtId="165" fontId="21" fillId="33" borderId="0" applyNumberFormat="0" applyBorder="0" applyAlignment="0" applyProtection="0"/>
    <xf numFmtId="165" fontId="21" fillId="36" borderId="0" applyNumberFormat="0" applyBorder="0" applyAlignment="0" applyProtection="0"/>
    <xf numFmtId="165" fontId="21" fillId="40" borderId="0" applyNumberFormat="0" applyBorder="0" applyAlignment="0" applyProtection="0"/>
    <xf numFmtId="165" fontId="21" fillId="22" borderId="0" applyNumberFormat="0" applyBorder="0" applyAlignment="0" applyProtection="0"/>
    <xf numFmtId="165" fontId="21" fillId="26" borderId="0" applyNumberFormat="0" applyBorder="0" applyAlignment="0" applyProtection="0"/>
    <xf numFmtId="165" fontId="21" fillId="30" borderId="0" applyNumberFormat="0" applyBorder="0" applyAlignment="0" applyProtection="0"/>
    <xf numFmtId="165" fontId="21" fillId="34" borderId="0" applyNumberFormat="0" applyBorder="0" applyAlignment="0" applyProtection="0"/>
    <xf numFmtId="165" fontId="21" fillId="37" borderId="0" applyNumberFormat="0" applyBorder="0" applyAlignment="0" applyProtection="0"/>
    <xf numFmtId="165" fontId="21" fillId="41" borderId="0" applyNumberFormat="0" applyBorder="0" applyAlignment="0" applyProtection="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21" borderId="0" applyNumberFormat="0" applyBorder="0" applyAlignment="0" applyProtection="0"/>
    <xf numFmtId="165" fontId="21" fillId="25" borderId="0" applyNumberFormat="0" applyBorder="0" applyAlignment="0" applyProtection="0"/>
    <xf numFmtId="165" fontId="21" fillId="29" borderId="0" applyNumberFormat="0" applyBorder="0" applyAlignment="0" applyProtection="0"/>
    <xf numFmtId="165" fontId="21" fillId="33" borderId="0" applyNumberFormat="0" applyBorder="0" applyAlignment="0" applyProtection="0"/>
    <xf numFmtId="165" fontId="21" fillId="36" borderId="0" applyNumberFormat="0" applyBorder="0" applyAlignment="0" applyProtection="0"/>
    <xf numFmtId="165" fontId="21" fillId="40" borderId="0" applyNumberFormat="0" applyBorder="0" applyAlignment="0" applyProtection="0"/>
    <xf numFmtId="165" fontId="21" fillId="22" borderId="0" applyNumberFormat="0" applyBorder="0" applyAlignment="0" applyProtection="0"/>
    <xf numFmtId="165" fontId="21" fillId="26" borderId="0" applyNumberFormat="0" applyBorder="0" applyAlignment="0" applyProtection="0"/>
    <xf numFmtId="165" fontId="21" fillId="30" borderId="0" applyNumberFormat="0" applyBorder="0" applyAlignment="0" applyProtection="0"/>
    <xf numFmtId="165" fontId="21" fillId="34" borderId="0" applyNumberFormat="0" applyBorder="0" applyAlignment="0" applyProtection="0"/>
    <xf numFmtId="165" fontId="21" fillId="37" borderId="0" applyNumberFormat="0" applyBorder="0" applyAlignment="0" applyProtection="0"/>
    <xf numFmtId="165" fontId="21" fillId="41" borderId="0" applyNumberFormat="0" applyBorder="0" applyAlignment="0" applyProtection="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21" borderId="0" applyNumberFormat="0" applyBorder="0" applyAlignment="0" applyProtection="0"/>
    <xf numFmtId="165" fontId="21" fillId="25" borderId="0" applyNumberFormat="0" applyBorder="0" applyAlignment="0" applyProtection="0"/>
    <xf numFmtId="165" fontId="21" fillId="29" borderId="0" applyNumberFormat="0" applyBorder="0" applyAlignment="0" applyProtection="0"/>
    <xf numFmtId="165" fontId="21" fillId="33" borderId="0" applyNumberFormat="0" applyBorder="0" applyAlignment="0" applyProtection="0"/>
    <xf numFmtId="165" fontId="21" fillId="36" borderId="0" applyNumberFormat="0" applyBorder="0" applyAlignment="0" applyProtection="0"/>
    <xf numFmtId="165" fontId="21" fillId="40" borderId="0" applyNumberFormat="0" applyBorder="0" applyAlignment="0" applyProtection="0"/>
    <xf numFmtId="165" fontId="21" fillId="22" borderId="0" applyNumberFormat="0" applyBorder="0" applyAlignment="0" applyProtection="0"/>
    <xf numFmtId="165" fontId="21" fillId="26" borderId="0" applyNumberFormat="0" applyBorder="0" applyAlignment="0" applyProtection="0"/>
    <xf numFmtId="165" fontId="21" fillId="30" borderId="0" applyNumberFormat="0" applyBorder="0" applyAlignment="0" applyProtection="0"/>
    <xf numFmtId="165" fontId="21" fillId="34" borderId="0" applyNumberFormat="0" applyBorder="0" applyAlignment="0" applyProtection="0"/>
    <xf numFmtId="165" fontId="21" fillId="37" borderId="0" applyNumberFormat="0" applyBorder="0" applyAlignment="0" applyProtection="0"/>
    <xf numFmtId="165" fontId="21" fillId="41" borderId="0" applyNumberFormat="0" applyBorder="0" applyAlignment="0" applyProtection="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65" fontId="21" fillId="0" borderId="0"/>
    <xf numFmtId="177" fontId="14" fillId="0" borderId="0" applyFont="0" applyFill="0" applyBorder="0" applyAlignment="0" applyProtection="0"/>
    <xf numFmtId="165" fontId="1" fillId="0" borderId="0"/>
    <xf numFmtId="165" fontId="1" fillId="0" borderId="0"/>
    <xf numFmtId="165" fontId="1" fillId="0" borderId="0" applyNumberFormat="0" applyFill="0" applyBorder="0" applyAlignment="0" applyProtection="0"/>
    <xf numFmtId="165" fontId="21"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 fillId="0" borderId="0"/>
    <xf numFmtId="0" fontId="21" fillId="0" borderId="0"/>
    <xf numFmtId="9" fontId="21" fillId="0" borderId="0" applyFont="0" applyFill="0" applyBorder="0" applyAlignment="0" applyProtection="0"/>
    <xf numFmtId="0" fontId="1" fillId="0" borderId="0" applyNumberFormat="0" applyFill="0" applyBorder="0" applyAlignment="0" applyProtection="0"/>
    <xf numFmtId="0" fontId="61" fillId="0" borderId="0" applyNumberFormat="0" applyFill="0" applyBorder="0" applyAlignment="0" applyProtection="0">
      <alignment vertical="top"/>
      <protection locked="0"/>
    </xf>
    <xf numFmtId="0" fontId="21" fillId="0" borderId="0"/>
    <xf numFmtId="0" fontId="21" fillId="0" borderId="0"/>
    <xf numFmtId="0" fontId="21" fillId="0" borderId="0"/>
    <xf numFmtId="0" fontId="21" fillId="0" borderId="0"/>
    <xf numFmtId="0" fontId="21" fillId="0" borderId="0"/>
    <xf numFmtId="178" fontId="21" fillId="0" borderId="0" applyFont="0" applyFill="0" applyBorder="0" applyAlignment="0" applyProtection="0"/>
    <xf numFmtId="165" fontId="14" fillId="0" borderId="0" applyNumberFormat="0" applyFill="0" applyBorder="0" applyAlignment="0" applyProtection="0"/>
    <xf numFmtId="0" fontId="1" fillId="0" borderId="0" applyNumberFormat="0" applyFill="0" applyBorder="0" applyAlignment="0" applyProtection="0"/>
    <xf numFmtId="0" fontId="21" fillId="0" borderId="0"/>
    <xf numFmtId="41" fontId="14" fillId="0" borderId="0" applyFont="0" applyFill="0" applyBorder="0" applyAlignment="0" applyProtection="0"/>
    <xf numFmtId="0" fontId="21" fillId="0" borderId="0"/>
    <xf numFmtId="165" fontId="14" fillId="0" borderId="0" applyNumberFormat="0" applyFill="0" applyBorder="0" applyAlignment="0" applyProtection="0"/>
    <xf numFmtId="0" fontId="43" fillId="0" borderId="0" applyNumberForma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5" fontId="14" fillId="0" borderId="0" applyNumberFormat="0" applyFill="0" applyBorder="0" applyAlignment="0" applyProtection="0"/>
    <xf numFmtId="43" fontId="14" fillId="0" borderId="0" applyFont="0" applyFill="0" applyBorder="0" applyAlignment="0" applyProtection="0"/>
    <xf numFmtId="165" fontId="62" fillId="0" borderId="0" applyNumberFormat="0" applyFill="0" applyBorder="0" applyAlignment="0" applyProtection="0">
      <alignment vertical="top"/>
      <protection locked="0"/>
    </xf>
    <xf numFmtId="43" fontId="14" fillId="0" borderId="0" applyFont="0" applyFill="0" applyBorder="0" applyAlignment="0" applyProtection="0"/>
    <xf numFmtId="179" fontId="14" fillId="0" borderId="0" applyNumberFormat="0" applyFill="0" applyBorder="0" applyAlignment="0" applyProtection="0"/>
    <xf numFmtId="165" fontId="1" fillId="0" borderId="0"/>
    <xf numFmtId="180" fontId="1" fillId="0" borderId="0" applyFont="0" applyFill="0" applyBorder="0" applyAlignment="0" applyProtection="0"/>
    <xf numFmtId="43" fontId="21" fillId="0" borderId="0" applyFont="0" applyFill="0" applyBorder="0" applyAlignment="0" applyProtection="0"/>
    <xf numFmtId="0" fontId="29" fillId="20" borderId="0" applyNumberFormat="0" applyBorder="0" applyAlignment="0" applyProtection="0"/>
    <xf numFmtId="0" fontId="76" fillId="0" borderId="0"/>
    <xf numFmtId="0" fontId="76" fillId="0" borderId="0"/>
    <xf numFmtId="0" fontId="82" fillId="0" borderId="0" applyNumberFormat="0" applyFill="0" applyBorder="0" applyAlignment="0" applyProtection="0"/>
    <xf numFmtId="0" fontId="82" fillId="0" borderId="0" applyNumberFormat="0" applyFill="0" applyBorder="0" applyAlignment="0" applyProtection="0"/>
    <xf numFmtId="164" fontId="1" fillId="0" borderId="0" applyFont="0" applyFill="0" applyBorder="0" applyAlignment="0" applyProtection="0"/>
    <xf numFmtId="165" fontId="14" fillId="0" borderId="0" applyNumberFormat="0" applyFill="0" applyBorder="0" applyAlignment="0" applyProtection="0"/>
  </cellStyleXfs>
  <cellXfs count="476">
    <xf numFmtId="0" fontId="0" fillId="0" borderId="0" xfId="0"/>
    <xf numFmtId="0" fontId="4" fillId="0" borderId="0" xfId="0" applyFont="1"/>
    <xf numFmtId="0" fontId="4" fillId="0" borderId="0" xfId="0" applyFont="1" applyAlignment="1"/>
    <xf numFmtId="0" fontId="7"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Fill="1" applyAlignment="1">
      <alignment horizontal="center" vertical="center" wrapText="1"/>
    </xf>
    <xf numFmtId="0" fontId="7" fillId="3" borderId="0" xfId="0" applyFont="1" applyFill="1" applyAlignment="1">
      <alignment horizontal="center" vertical="center" wrapText="1"/>
    </xf>
    <xf numFmtId="0" fontId="7" fillId="4" borderId="0" xfId="0" applyFont="1" applyFill="1" applyAlignment="1">
      <alignment horizontal="center" vertical="center" wrapText="1"/>
    </xf>
    <xf numFmtId="0" fontId="11" fillId="0" borderId="0" xfId="0" applyFont="1" applyAlignment="1">
      <alignment horizontal="center" vertical="center" wrapText="1"/>
    </xf>
    <xf numFmtId="1" fontId="4" fillId="0" borderId="0" xfId="0" applyNumberFormat="1" applyFont="1" applyAlignment="1">
      <alignment horizontal="center" vertical="center" wrapText="1"/>
    </xf>
    <xf numFmtId="0" fontId="4" fillId="2" borderId="0" xfId="0" applyFont="1" applyFill="1" applyAlignment="1">
      <alignment horizontal="center" vertical="center" wrapText="1"/>
    </xf>
    <xf numFmtId="1" fontId="4" fillId="2" borderId="0" xfId="0" applyNumberFormat="1" applyFont="1" applyFill="1" applyAlignment="1">
      <alignment horizontal="center" vertical="center" wrapText="1"/>
    </xf>
    <xf numFmtId="0" fontId="8" fillId="2" borderId="0" xfId="0" applyFont="1" applyFill="1" applyAlignment="1">
      <alignment horizontal="center" vertical="center"/>
    </xf>
    <xf numFmtId="0" fontId="8" fillId="2" borderId="0" xfId="0" applyFont="1" applyFill="1" applyAlignment="1">
      <alignment horizontal="center" vertical="center" wrapText="1"/>
    </xf>
    <xf numFmtId="0" fontId="8" fillId="3" borderId="0" xfId="0" applyFont="1" applyFill="1" applyAlignment="1">
      <alignment horizontal="center" vertical="center" wrapText="1"/>
    </xf>
    <xf numFmtId="1" fontId="7" fillId="0" borderId="0" xfId="0" applyNumberFormat="1" applyFont="1" applyAlignment="1">
      <alignment horizontal="center" vertical="center" wrapText="1"/>
    </xf>
    <xf numFmtId="1" fontId="11" fillId="0" borderId="0" xfId="0" applyNumberFormat="1" applyFont="1" applyAlignment="1">
      <alignment horizontal="center" vertical="center" wrapText="1"/>
    </xf>
    <xf numFmtId="0" fontId="7" fillId="2" borderId="0" xfId="0" applyFont="1" applyFill="1" applyAlignment="1">
      <alignment horizontal="center" vertical="center" wrapText="1"/>
    </xf>
    <xf numFmtId="0" fontId="7" fillId="0" borderId="0" xfId="0" applyFont="1"/>
    <xf numFmtId="0" fontId="4" fillId="0" borderId="0" xfId="0" applyFont="1" applyAlignment="1">
      <alignment wrapText="1"/>
    </xf>
    <xf numFmtId="0" fontId="4" fillId="0" borderId="0" xfId="0" applyFont="1" applyAlignment="1">
      <alignment horizontal="center" vertical="center" wrapText="1"/>
    </xf>
    <xf numFmtId="0" fontId="7" fillId="2" borderId="0" xfId="0" applyFont="1" applyFill="1" applyAlignment="1"/>
    <xf numFmtId="0" fontId="4" fillId="2" borderId="0" xfId="0" applyFont="1" applyFill="1" applyAlignment="1"/>
    <xf numFmtId="0" fontId="4" fillId="2" borderId="0" xfId="0" applyFont="1" applyFill="1" applyAlignment="1">
      <alignment wrapText="1"/>
    </xf>
    <xf numFmtId="0" fontId="7" fillId="2" borderId="0" xfId="0" applyFont="1" applyFill="1"/>
    <xf numFmtId="0" fontId="4" fillId="0" borderId="0" xfId="0" applyFont="1" applyAlignment="1">
      <alignment horizontal="center" vertical="center"/>
    </xf>
    <xf numFmtId="0" fontId="7" fillId="0" borderId="0" xfId="0" applyFont="1" applyAlignment="1">
      <alignment horizontal="center" vertical="center"/>
    </xf>
    <xf numFmtId="0" fontId="4" fillId="2" borderId="0" xfId="0" applyFont="1" applyFill="1"/>
    <xf numFmtId="0" fontId="4" fillId="2" borderId="0" xfId="0" applyFont="1" applyFill="1" applyAlignment="1">
      <alignment horizontal="center"/>
    </xf>
    <xf numFmtId="0" fontId="7" fillId="2" borderId="0" xfId="0" applyFont="1" applyFill="1" applyAlignment="1">
      <alignment horizontal="center"/>
    </xf>
    <xf numFmtId="0" fontId="4" fillId="0" borderId="0" xfId="0" applyFont="1" applyAlignment="1">
      <alignment horizontal="center"/>
    </xf>
    <xf numFmtId="0" fontId="7" fillId="3" borderId="0" xfId="0" applyFont="1" applyFill="1" applyAlignment="1">
      <alignment horizontal="center" vertical="center" wrapText="1"/>
    </xf>
    <xf numFmtId="0" fontId="4" fillId="2" borderId="0" xfId="0" applyFont="1" applyFill="1" applyAlignment="1">
      <alignment horizontal="center" vertical="center"/>
    </xf>
    <xf numFmtId="0" fontId="7" fillId="0" borderId="0" xfId="0" applyFont="1" applyAlignment="1"/>
    <xf numFmtId="0" fontId="0" fillId="2" borderId="0" xfId="0" applyFont="1" applyFill="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0" fontId="0" fillId="2" borderId="0" xfId="0" applyFill="1" applyAlignment="1">
      <alignment horizontal="center" vertical="center"/>
    </xf>
    <xf numFmtId="0" fontId="8" fillId="0" borderId="0" xfId="0" applyFont="1" applyFill="1" applyAlignment="1">
      <alignment horizontal="center" vertical="center"/>
    </xf>
    <xf numFmtId="0" fontId="0" fillId="0" borderId="0" xfId="0" applyFill="1" applyAlignment="1">
      <alignment horizontal="center" vertical="center"/>
    </xf>
    <xf numFmtId="0" fontId="0" fillId="0" borderId="0" xfId="0" applyFont="1" applyFill="1" applyAlignment="1">
      <alignment horizontal="center" vertical="center"/>
    </xf>
    <xf numFmtId="1" fontId="4" fillId="2" borderId="0" xfId="0" applyNumberFormat="1" applyFont="1" applyFill="1" applyBorder="1" applyAlignment="1">
      <alignment horizontal="center" vertical="center" wrapText="1"/>
    </xf>
    <xf numFmtId="0" fontId="0" fillId="2" borderId="0" xfId="0" applyFill="1"/>
    <xf numFmtId="0" fontId="7" fillId="2" borderId="0" xfId="0" applyFont="1" applyFill="1" applyAlignment="1">
      <alignment horizontal="center" vertical="center"/>
    </xf>
    <xf numFmtId="0" fontId="4" fillId="2" borderId="0" xfId="0" applyFont="1" applyFill="1" applyBorder="1"/>
    <xf numFmtId="0" fontId="7" fillId="4" borderId="0" xfId="0" applyFont="1" applyFill="1" applyAlignment="1">
      <alignment horizontal="center" vertical="center" wrapText="1"/>
    </xf>
    <xf numFmtId="0" fontId="4" fillId="0" borderId="0" xfId="0" applyFont="1" applyAlignment="1">
      <alignment horizontal="center" vertical="center" wrapText="1"/>
    </xf>
    <xf numFmtId="0" fontId="7" fillId="3" borderId="0" xfId="0" applyFont="1" applyFill="1" applyAlignment="1">
      <alignment horizontal="center" vertical="center" wrapText="1"/>
    </xf>
    <xf numFmtId="0" fontId="11" fillId="2" borderId="0" xfId="0" applyFont="1" applyFill="1" applyAlignment="1">
      <alignment horizontal="center" vertical="center"/>
    </xf>
    <xf numFmtId="3" fontId="4" fillId="0" borderId="0" xfId="0" applyNumberFormat="1" applyFont="1"/>
    <xf numFmtId="0" fontId="15" fillId="6" borderId="0" xfId="6" applyAlignment="1">
      <alignment horizontal="center"/>
    </xf>
    <xf numFmtId="0" fontId="17" fillId="6" borderId="0" xfId="6" applyFont="1" applyAlignment="1">
      <alignment horizontal="center"/>
    </xf>
    <xf numFmtId="0" fontId="4" fillId="0" borderId="0" xfId="0" applyFont="1" applyFill="1"/>
    <xf numFmtId="0" fontId="4" fillId="0" borderId="0" xfId="0" applyFont="1" applyFill="1" applyAlignment="1">
      <alignment wrapText="1"/>
    </xf>
    <xf numFmtId="0" fontId="4" fillId="2" borderId="0" xfId="0" applyFont="1" applyFill="1" applyAlignment="1">
      <alignment horizontal="left" vertical="center" wrapText="1"/>
    </xf>
    <xf numFmtId="166" fontId="4" fillId="2" borderId="0" xfId="0" applyNumberFormat="1" applyFont="1" applyFill="1" applyAlignment="1">
      <alignment horizontal="center" vertical="center" wrapText="1"/>
    </xf>
    <xf numFmtId="2" fontId="4" fillId="2" borderId="0" xfId="0" applyNumberFormat="1" applyFont="1" applyFill="1" applyAlignment="1">
      <alignment horizontal="center" vertical="center" wrapText="1"/>
    </xf>
    <xf numFmtId="3" fontId="4" fillId="2" borderId="0" xfId="0" applyNumberFormat="1" applyFont="1" applyFill="1" applyAlignment="1">
      <alignment horizontal="center" vertical="center" wrapText="1"/>
    </xf>
    <xf numFmtId="3" fontId="4" fillId="0" borderId="0" xfId="0" applyNumberFormat="1" applyFont="1" applyAlignment="1">
      <alignment horizontal="center" vertical="center" wrapText="1"/>
    </xf>
    <xf numFmtId="3" fontId="12" fillId="2" borderId="0" xfId="0" applyNumberFormat="1" applyFont="1" applyFill="1" applyAlignment="1">
      <alignment horizontal="center" vertical="center"/>
    </xf>
    <xf numFmtId="3" fontId="5" fillId="0" borderId="0" xfId="0" applyNumberFormat="1" applyFont="1" applyAlignment="1">
      <alignment horizontal="center" vertical="center" wrapText="1"/>
    </xf>
    <xf numFmtId="3" fontId="6" fillId="0" borderId="0" xfId="0" applyNumberFormat="1" applyFont="1" applyAlignment="1">
      <alignment horizontal="center" vertical="center" wrapText="1"/>
    </xf>
    <xf numFmtId="0" fontId="13" fillId="0" borderId="0" xfId="3" applyAlignment="1">
      <alignment horizontal="center" vertical="center"/>
    </xf>
    <xf numFmtId="0" fontId="13" fillId="2" borderId="0" xfId="3" applyFill="1" applyAlignment="1">
      <alignment horizontal="center" vertical="center"/>
    </xf>
    <xf numFmtId="1" fontId="6" fillId="2" borderId="0" xfId="0" applyNumberFormat="1"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horizontal="left" vertical="center" wrapText="1"/>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1" fontId="7" fillId="2" borderId="0" xfId="0" applyNumberFormat="1" applyFont="1" applyFill="1" applyAlignment="1">
      <alignment horizontal="center" vertical="center" wrapText="1"/>
    </xf>
    <xf numFmtId="0" fontId="18" fillId="0" borderId="0" xfId="0" applyFont="1" applyFill="1" applyAlignment="1">
      <alignment horizontal="center" vertical="center" wrapText="1"/>
    </xf>
    <xf numFmtId="0" fontId="4" fillId="2" borderId="0" xfId="0" applyFont="1" applyFill="1" applyAlignment="1">
      <alignment horizontal="center" vertical="center"/>
    </xf>
    <xf numFmtId="3" fontId="19" fillId="2" borderId="0" xfId="0" applyNumberFormat="1" applyFont="1" applyFill="1" applyAlignment="1">
      <alignment horizontal="center" vertical="center"/>
    </xf>
    <xf numFmtId="3" fontId="6" fillId="2" borderId="0" xfId="0" applyNumberFormat="1" applyFont="1" applyFill="1" applyAlignment="1">
      <alignment horizontal="center" vertical="center" wrapText="1"/>
    </xf>
    <xf numFmtId="0" fontId="19" fillId="0" borderId="0" xfId="0" applyFont="1" applyAlignment="1">
      <alignment horizontal="center" vertical="center"/>
    </xf>
    <xf numFmtId="1" fontId="5" fillId="2" borderId="0" xfId="0" applyNumberFormat="1" applyFont="1" applyFill="1" applyAlignment="1">
      <alignment horizontal="center" vertical="center" wrapText="1"/>
    </xf>
    <xf numFmtId="0" fontId="0" fillId="0" borderId="0" xfId="0" applyFill="1"/>
    <xf numFmtId="0" fontId="4" fillId="0" borderId="0" xfId="0" applyFont="1" applyAlignment="1">
      <alignment horizontal="center" vertical="center"/>
    </xf>
    <xf numFmtId="0" fontId="22" fillId="0" borderId="0" xfId="3" applyFont="1" applyAlignment="1" applyProtection="1">
      <alignment horizontal="center" vertical="center"/>
    </xf>
    <xf numFmtId="0" fontId="23" fillId="0" borderId="0" xfId="0" applyFont="1"/>
    <xf numFmtId="0" fontId="23" fillId="0" borderId="0" xfId="0" applyFont="1" applyAlignment="1">
      <alignment horizontal="center" vertical="center"/>
    </xf>
    <xf numFmtId="1" fontId="23" fillId="2" borderId="0" xfId="0" applyNumberFormat="1" applyFont="1" applyFill="1" applyAlignment="1">
      <alignment horizontal="center" vertical="center" wrapText="1"/>
    </xf>
    <xf numFmtId="0" fontId="20" fillId="3" borderId="0" xfId="0" applyFont="1" applyFill="1" applyAlignment="1">
      <alignment horizontal="center" vertical="center" wrapText="1"/>
    </xf>
    <xf numFmtId="0" fontId="20" fillId="9" borderId="0" xfId="0" applyFont="1" applyFill="1" applyAlignment="1">
      <alignment horizontal="center" vertical="center" wrapText="1"/>
    </xf>
    <xf numFmtId="0" fontId="23" fillId="2" borderId="0" xfId="0" applyFont="1" applyFill="1"/>
    <xf numFmtId="1" fontId="23" fillId="2" borderId="0" xfId="0" applyNumberFormat="1" applyFont="1" applyFill="1" applyAlignment="1">
      <alignment horizontal="center" vertical="center"/>
    </xf>
    <xf numFmtId="9" fontId="23" fillId="2" borderId="0" xfId="7" applyFont="1" applyFill="1" applyAlignment="1">
      <alignment horizontal="center" vertical="center" wrapText="1"/>
    </xf>
    <xf numFmtId="1" fontId="24" fillId="2" borderId="0" xfId="0" applyNumberFormat="1" applyFont="1" applyFill="1" applyAlignment="1">
      <alignment horizontal="center" vertical="center" wrapText="1"/>
    </xf>
    <xf numFmtId="0" fontId="23" fillId="2" borderId="0" xfId="0" applyFont="1" applyFill="1" applyAlignment="1">
      <alignment horizontal="center" vertical="center" wrapText="1"/>
    </xf>
    <xf numFmtId="0" fontId="23" fillId="2" borderId="0" xfId="0" applyFont="1" applyFill="1" applyBorder="1"/>
    <xf numFmtId="1" fontId="23" fillId="2" borderId="0" xfId="0" applyNumberFormat="1" applyFont="1" applyFill="1" applyBorder="1" applyAlignment="1">
      <alignment horizontal="center" vertical="center" wrapText="1"/>
    </xf>
    <xf numFmtId="0" fontId="23" fillId="0" borderId="0" xfId="0" applyFont="1" applyAlignment="1">
      <alignment horizontal="center" vertical="center" wrapText="1"/>
    </xf>
    <xf numFmtId="0" fontId="4" fillId="0" borderId="0" xfId="0" applyFont="1" applyAlignment="1">
      <alignment horizontal="center" vertical="center" wrapText="1"/>
    </xf>
    <xf numFmtId="0" fontId="7" fillId="3" borderId="0" xfId="0" applyFont="1" applyFill="1" applyAlignment="1">
      <alignment horizontal="center" vertical="center" wrapText="1"/>
    </xf>
    <xf numFmtId="0" fontId="23" fillId="2" borderId="0" xfId="0" applyFont="1" applyFill="1" applyAlignment="1">
      <alignment horizontal="center"/>
    </xf>
    <xf numFmtId="0" fontId="20" fillId="0" borderId="0" xfId="0" applyFont="1" applyFill="1" applyAlignment="1">
      <alignment vertical="center"/>
    </xf>
    <xf numFmtId="0" fontId="20" fillId="0" borderId="0" xfId="0" applyFont="1" applyFill="1" applyAlignment="1">
      <alignment horizontal="center" vertical="center" wrapText="1"/>
    </xf>
    <xf numFmtId="0" fontId="20" fillId="2" borderId="0" xfId="0" applyFont="1" applyFill="1" applyAlignment="1">
      <alignment horizontal="center" vertical="center" wrapText="1"/>
    </xf>
    <xf numFmtId="0" fontId="20" fillId="2" borderId="0" xfId="0" applyFont="1" applyFill="1" applyAlignment="1">
      <alignment horizontal="center"/>
    </xf>
    <xf numFmtId="3" fontId="23" fillId="2" borderId="0" xfId="0" applyNumberFormat="1" applyFont="1" applyFill="1" applyAlignment="1">
      <alignment horizontal="center"/>
    </xf>
    <xf numFmtId="9" fontId="23" fillId="2" borderId="0" xfId="7" applyFont="1" applyFill="1" applyAlignment="1">
      <alignment horizontal="center"/>
    </xf>
    <xf numFmtId="0" fontId="23" fillId="2" borderId="0" xfId="0" applyFont="1" applyFill="1" applyAlignment="1">
      <alignment horizontal="center" vertical="center"/>
    </xf>
    <xf numFmtId="0" fontId="20" fillId="2" borderId="0" xfId="0" applyFont="1" applyFill="1" applyAlignment="1">
      <alignment vertical="center"/>
    </xf>
    <xf numFmtId="2" fontId="23" fillId="2" borderId="0" xfId="0" applyNumberFormat="1" applyFont="1" applyFill="1" applyAlignment="1">
      <alignment horizontal="center" vertical="center"/>
    </xf>
    <xf numFmtId="169" fontId="23" fillId="2" borderId="0" xfId="0" applyNumberFormat="1" applyFont="1" applyFill="1" applyAlignment="1">
      <alignment horizontal="center" vertical="center"/>
    </xf>
    <xf numFmtId="9" fontId="23" fillId="0" borderId="0" xfId="7" applyFont="1"/>
    <xf numFmtId="9" fontId="23" fillId="2" borderId="0" xfId="7" applyFont="1" applyFill="1" applyAlignment="1">
      <alignment horizontal="center" vertical="center"/>
    </xf>
    <xf numFmtId="1" fontId="7" fillId="2" borderId="0" xfId="0" applyNumberFormat="1" applyFont="1" applyFill="1" applyAlignment="1">
      <alignment horizontal="center"/>
    </xf>
    <xf numFmtId="9" fontId="23" fillId="2" borderId="0" xfId="7" applyFont="1" applyFill="1" applyAlignment="1">
      <alignment vertical="center"/>
    </xf>
    <xf numFmtId="0" fontId="25" fillId="9" borderId="0" xfId="0" applyFont="1" applyFill="1" applyAlignment="1">
      <alignment horizontal="center" vertical="center" wrapText="1"/>
    </xf>
    <xf numFmtId="0" fontId="25" fillId="2" borderId="0" xfId="0" applyFont="1" applyFill="1" applyAlignment="1">
      <alignment horizontal="center" vertical="center" wrapText="1"/>
    </xf>
    <xf numFmtId="0" fontId="25" fillId="3" borderId="0" xfId="0" applyFont="1" applyFill="1" applyAlignment="1">
      <alignment horizontal="center" vertical="center" wrapText="1"/>
    </xf>
    <xf numFmtId="0" fontId="4" fillId="0" borderId="0" xfId="0" applyFont="1" applyAlignment="1">
      <alignment horizontal="center" vertical="center" wrapText="1"/>
    </xf>
    <xf numFmtId="0" fontId="20" fillId="4" borderId="0" xfId="0" applyFont="1" applyFill="1" applyAlignment="1">
      <alignment horizontal="center" vertical="center" wrapText="1"/>
    </xf>
    <xf numFmtId="168" fontId="23" fillId="2" borderId="0" xfId="0" applyNumberFormat="1" applyFont="1" applyFill="1" applyAlignment="1">
      <alignment horizontal="center" vertical="center" wrapText="1"/>
    </xf>
    <xf numFmtId="3" fontId="23" fillId="2" borderId="0" xfId="0" applyNumberFormat="1" applyFont="1" applyFill="1" applyAlignment="1">
      <alignment horizontal="center" vertical="center" wrapText="1"/>
    </xf>
    <xf numFmtId="0" fontId="0" fillId="2" borderId="0" xfId="0" applyFill="1" applyAlignment="1">
      <alignment horizontal="center"/>
    </xf>
    <xf numFmtId="0" fontId="26" fillId="10" borderId="0" xfId="0" applyFont="1" applyFill="1" applyAlignment="1">
      <alignment horizontal="center"/>
    </xf>
    <xf numFmtId="170" fontId="0" fillId="2" borderId="0" xfId="0" applyNumberFormat="1" applyFill="1" applyAlignment="1">
      <alignment horizontal="center"/>
    </xf>
    <xf numFmtId="1" fontId="0" fillId="2" borderId="0" xfId="0" applyNumberFormat="1" applyFill="1" applyAlignment="1">
      <alignment horizontal="center"/>
    </xf>
    <xf numFmtId="171" fontId="4" fillId="2" borderId="0" xfId="0" applyNumberFormat="1" applyFont="1" applyFill="1" applyAlignment="1">
      <alignment horizontal="center" vertical="center" wrapText="1"/>
    </xf>
    <xf numFmtId="169" fontId="0" fillId="2" borderId="0" xfId="0" applyNumberFormat="1" applyFill="1" applyAlignment="1">
      <alignment horizontal="center"/>
    </xf>
    <xf numFmtId="167" fontId="4" fillId="2" borderId="0" xfId="0" applyNumberFormat="1" applyFont="1" applyFill="1" applyAlignment="1">
      <alignment horizontal="center" vertical="center" wrapText="1"/>
    </xf>
    <xf numFmtId="172" fontId="0" fillId="2" borderId="0" xfId="7" applyNumberFormat="1" applyFont="1" applyFill="1" applyAlignment="1">
      <alignment horizontal="center"/>
    </xf>
    <xf numFmtId="170" fontId="4" fillId="2" borderId="0" xfId="7" applyNumberFormat="1" applyFont="1" applyFill="1" applyAlignment="1">
      <alignment horizontal="center" vertical="center" wrapText="1"/>
    </xf>
    <xf numFmtId="168" fontId="4" fillId="2" borderId="0" xfId="0" applyNumberFormat="1" applyFont="1" applyFill="1" applyAlignment="1">
      <alignment horizontal="center" vertical="center" wrapText="1"/>
    </xf>
    <xf numFmtId="172" fontId="4" fillId="2" borderId="0" xfId="7" applyNumberFormat="1" applyFont="1" applyFill="1" applyAlignment="1">
      <alignment horizontal="center" vertical="center" wrapText="1"/>
    </xf>
    <xf numFmtId="173" fontId="0" fillId="2" borderId="0" xfId="7" applyNumberFormat="1" applyFont="1" applyFill="1" applyAlignment="1">
      <alignment horizontal="center"/>
    </xf>
    <xf numFmtId="4" fontId="4" fillId="2" borderId="0" xfId="0" applyNumberFormat="1" applyFont="1" applyFill="1" applyAlignment="1">
      <alignment horizontal="center" vertical="center" wrapText="1"/>
    </xf>
    <xf numFmtId="0" fontId="26" fillId="2" borderId="0" xfId="0" applyFont="1" applyFill="1" applyAlignment="1">
      <alignment horizontal="center"/>
    </xf>
    <xf numFmtId="170" fontId="0" fillId="2" borderId="2" xfId="0" applyNumberFormat="1" applyFill="1" applyBorder="1" applyAlignment="1">
      <alignment horizontal="center"/>
    </xf>
    <xf numFmtId="0" fontId="0" fillId="2" borderId="2" xfId="0" applyFill="1" applyBorder="1" applyAlignment="1">
      <alignment horizontal="center"/>
    </xf>
    <xf numFmtId="10" fontId="0" fillId="2" borderId="2" xfId="7" applyNumberFormat="1" applyFont="1" applyFill="1" applyBorder="1" applyAlignment="1">
      <alignment horizontal="center"/>
    </xf>
    <xf numFmtId="0" fontId="4" fillId="0" borderId="0" xfId="0" applyFont="1" applyAlignment="1">
      <alignment vertical="center"/>
    </xf>
    <xf numFmtId="169" fontId="4" fillId="2" borderId="0" xfId="0" applyNumberFormat="1" applyFont="1" applyFill="1" applyAlignment="1">
      <alignment horizontal="center" vertical="center"/>
    </xf>
    <xf numFmtId="0" fontId="20" fillId="4" borderId="0" xfId="0" applyFont="1" applyFill="1" applyAlignment="1">
      <alignment horizontal="center" vertical="center" wrapText="1"/>
    </xf>
    <xf numFmtId="3" fontId="0" fillId="0" borderId="0" xfId="0" applyNumberFormat="1"/>
    <xf numFmtId="3" fontId="0" fillId="0" borderId="0" xfId="0" applyNumberFormat="1" applyAlignment="1">
      <alignment horizontal="center" vertical="center"/>
    </xf>
    <xf numFmtId="3" fontId="28" fillId="12" borderId="0" xfId="10" applyNumberFormat="1" applyAlignment="1">
      <alignment horizontal="center" vertical="center" wrapText="1"/>
    </xf>
    <xf numFmtId="3" fontId="27" fillId="11" borderId="0" xfId="9" applyNumberFormat="1" applyAlignment="1">
      <alignment horizontal="center" vertical="center" wrapText="1"/>
    </xf>
    <xf numFmtId="3" fontId="12" fillId="14" borderId="0" xfId="9" applyNumberFormat="1" applyFont="1" applyFill="1" applyAlignment="1">
      <alignment horizontal="center" vertical="center" wrapText="1"/>
    </xf>
    <xf numFmtId="3" fontId="29" fillId="13" borderId="0" xfId="11" applyNumberFormat="1" applyBorder="1" applyAlignment="1">
      <alignment horizontal="center" wrapText="1"/>
    </xf>
    <xf numFmtId="3" fontId="0" fillId="2" borderId="0" xfId="0" applyNumberFormat="1" applyFill="1" applyAlignment="1">
      <alignment horizontal="center"/>
    </xf>
    <xf numFmtId="3" fontId="0" fillId="0" borderId="0" xfId="0" applyNumberFormat="1" applyAlignment="1">
      <alignment horizontal="center"/>
    </xf>
    <xf numFmtId="9" fontId="0" fillId="2" borderId="0" xfId="7" applyFont="1" applyFill="1" applyAlignment="1">
      <alignment horizontal="center"/>
    </xf>
    <xf numFmtId="9" fontId="0" fillId="2" borderId="0" xfId="7" applyNumberFormat="1" applyFont="1" applyFill="1" applyAlignment="1">
      <alignment horizontal="center"/>
    </xf>
    <xf numFmtId="0" fontId="8" fillId="2" borderId="0" xfId="0" applyFont="1" applyFill="1"/>
    <xf numFmtId="0" fontId="23" fillId="0"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applyFont="1" applyAlignment="1">
      <alignment horizontal="center" vertical="center" wrapText="1"/>
    </xf>
    <xf numFmtId="0" fontId="30" fillId="0" borderId="0" xfId="0" applyFont="1" applyFill="1" applyAlignment="1">
      <alignment horizontal="center" vertical="center" wrapText="1"/>
    </xf>
    <xf numFmtId="0" fontId="30" fillId="0" borderId="0" xfId="0" applyFont="1" applyAlignment="1">
      <alignment horizontal="center" vertical="center" wrapText="1"/>
    </xf>
    <xf numFmtId="3" fontId="23" fillId="0" borderId="0" xfId="0" applyNumberFormat="1" applyFont="1" applyAlignment="1">
      <alignment horizontal="center" vertical="center" wrapText="1"/>
    </xf>
    <xf numFmtId="2" fontId="23" fillId="2" borderId="0" xfId="0" applyNumberFormat="1" applyFont="1" applyFill="1" applyAlignment="1">
      <alignment horizontal="center" vertical="center" wrapText="1"/>
    </xf>
    <xf numFmtId="0" fontId="31" fillId="2" borderId="0" xfId="0" applyFont="1" applyFill="1" applyAlignment="1">
      <alignment horizontal="center" vertical="center" wrapText="1"/>
    </xf>
    <xf numFmtId="3" fontId="23" fillId="0" borderId="0" xfId="0" applyNumberFormat="1" applyFont="1" applyFill="1" applyAlignment="1">
      <alignment horizontal="center" vertical="center" wrapText="1"/>
    </xf>
    <xf numFmtId="0" fontId="20" fillId="2" borderId="0" xfId="0" applyFont="1" applyFill="1" applyAlignment="1">
      <alignment horizontal="center" vertical="center"/>
    </xf>
    <xf numFmtId="167" fontId="23" fillId="2" borderId="0" xfId="0" applyNumberFormat="1" applyFont="1" applyFill="1" applyAlignment="1">
      <alignment horizontal="center" vertical="center" wrapText="1"/>
    </xf>
    <xf numFmtId="174" fontId="23" fillId="0" borderId="0" xfId="7" applyNumberFormat="1" applyFont="1" applyAlignment="1">
      <alignment horizontal="center" vertical="center"/>
    </xf>
    <xf numFmtId="166" fontId="0" fillId="2" borderId="0" xfId="0" applyNumberFormat="1" applyFill="1" applyAlignment="1">
      <alignment horizontal="center"/>
    </xf>
    <xf numFmtId="0" fontId="28" fillId="12" borderId="0" xfId="10" applyAlignment="1">
      <alignment horizontal="center"/>
    </xf>
    <xf numFmtId="0" fontId="27" fillId="11" borderId="0" xfId="9"/>
    <xf numFmtId="0" fontId="0" fillId="8" borderId="0" xfId="0" applyFill="1" applyAlignment="1">
      <alignment horizontal="center"/>
    </xf>
    <xf numFmtId="0" fontId="32" fillId="8" borderId="0" xfId="0" applyFont="1" applyFill="1" applyAlignment="1">
      <alignment horizontal="center"/>
    </xf>
    <xf numFmtId="0" fontId="8" fillId="8" borderId="0" xfId="0" applyFont="1" applyFill="1" applyAlignment="1">
      <alignment horizontal="center"/>
    </xf>
    <xf numFmtId="0" fontId="0" fillId="0" borderId="0" xfId="0" applyNumberFormat="1" applyFont="1" applyFill="1" applyBorder="1" applyAlignment="1" applyProtection="1">
      <alignment horizontal="left"/>
    </xf>
    <xf numFmtId="0" fontId="33" fillId="0" borderId="0" xfId="0" applyFont="1"/>
    <xf numFmtId="0" fontId="1" fillId="0" borderId="0" xfId="0" applyFont="1"/>
    <xf numFmtId="169" fontId="0" fillId="0" borderId="0" xfId="0" applyNumberFormat="1"/>
    <xf numFmtId="175" fontId="0" fillId="0" borderId="0" xfId="0" applyNumberFormat="1" applyFont="1" applyFill="1" applyBorder="1" applyAlignment="1" applyProtection="1"/>
    <xf numFmtId="169" fontId="0" fillId="0" borderId="0" xfId="0" applyNumberFormat="1" applyFont="1" applyFill="1" applyBorder="1" applyAlignment="1" applyProtection="1"/>
    <xf numFmtId="0" fontId="34" fillId="0" borderId="0" xfId="0" applyFont="1"/>
    <xf numFmtId="169" fontId="1" fillId="0" borderId="0" xfId="0" applyNumberFormat="1" applyFont="1"/>
    <xf numFmtId="0" fontId="8" fillId="0" borderId="0" xfId="0" applyFont="1"/>
    <xf numFmtId="0" fontId="4" fillId="0" borderId="0" xfId="0" applyFont="1" applyAlignment="1">
      <alignment horizontal="center" vertical="center" wrapText="1"/>
    </xf>
    <xf numFmtId="1" fontId="0" fillId="2" borderId="0" xfId="0" applyNumberFormat="1" applyFill="1" applyAlignment="1">
      <alignment horizontal="center" wrapText="1"/>
    </xf>
    <xf numFmtId="0" fontId="27" fillId="11" borderId="0" xfId="9" applyAlignment="1">
      <alignment horizontal="center"/>
    </xf>
    <xf numFmtId="170" fontId="0" fillId="2" borderId="0" xfId="0" applyNumberFormat="1" applyFill="1" applyBorder="1" applyAlignment="1">
      <alignment horizontal="left"/>
    </xf>
    <xf numFmtId="170" fontId="0" fillId="2" borderId="3" xfId="0" applyNumberFormat="1" applyFill="1" applyBorder="1" applyAlignment="1">
      <alignment horizontal="left"/>
    </xf>
    <xf numFmtId="170" fontId="4" fillId="2" borderId="0" xfId="0" applyNumberFormat="1" applyFont="1" applyFill="1" applyAlignment="1">
      <alignment horizontal="left"/>
    </xf>
    <xf numFmtId="170" fontId="0" fillId="2" borderId="0" xfId="0" applyNumberFormat="1" applyFill="1" applyAlignment="1">
      <alignment horizontal="left"/>
    </xf>
    <xf numFmtId="0" fontId="8" fillId="2" borderId="3" xfId="0" applyFont="1" applyFill="1" applyBorder="1" applyAlignment="1">
      <alignment horizontal="center" vertical="center"/>
    </xf>
    <xf numFmtId="170" fontId="8" fillId="2" borderId="3" xfId="0" applyNumberFormat="1" applyFont="1" applyFill="1" applyBorder="1" applyAlignment="1">
      <alignment horizontal="center" vertical="center"/>
    </xf>
    <xf numFmtId="10" fontId="0" fillId="2" borderId="0" xfId="7" applyNumberFormat="1" applyFont="1" applyFill="1" applyBorder="1" applyAlignment="1">
      <alignment horizontal="center" vertical="center"/>
    </xf>
    <xf numFmtId="10" fontId="0" fillId="2" borderId="3" xfId="7" applyNumberFormat="1" applyFont="1" applyFill="1" applyBorder="1" applyAlignment="1">
      <alignment horizontal="center" vertical="center"/>
    </xf>
    <xf numFmtId="170" fontId="0" fillId="2" borderId="0" xfId="0" applyNumberFormat="1" applyFill="1" applyAlignment="1">
      <alignment horizontal="center" vertical="center"/>
    </xf>
    <xf numFmtId="170" fontId="8" fillId="2" borderId="4" xfId="0" applyNumberFormat="1" applyFont="1" applyFill="1" applyBorder="1" applyAlignment="1">
      <alignment horizontal="left"/>
    </xf>
    <xf numFmtId="10" fontId="0" fillId="2" borderId="4" xfId="7" applyNumberFormat="1" applyFont="1" applyFill="1" applyBorder="1" applyAlignment="1">
      <alignment horizontal="center" vertical="center"/>
    </xf>
    <xf numFmtId="170" fontId="0" fillId="2" borderId="6" xfId="0" applyNumberFormat="1" applyFill="1" applyBorder="1" applyAlignment="1">
      <alignment horizontal="center"/>
    </xf>
    <xf numFmtId="10" fontId="0" fillId="2" borderId="6" xfId="7" applyNumberFormat="1" applyFont="1" applyFill="1" applyBorder="1" applyAlignment="1">
      <alignment horizontal="center"/>
    </xf>
    <xf numFmtId="170" fontId="8" fillId="2" borderId="5" xfId="0" applyNumberFormat="1" applyFont="1" applyFill="1" applyBorder="1" applyAlignment="1">
      <alignment horizontal="left"/>
    </xf>
    <xf numFmtId="10" fontId="0" fillId="2" borderId="5" xfId="7" applyNumberFormat="1" applyFont="1" applyFill="1" applyBorder="1" applyAlignment="1">
      <alignment horizontal="center" vertical="center"/>
    </xf>
    <xf numFmtId="0" fontId="0" fillId="2" borderId="5" xfId="0" applyFill="1" applyBorder="1" applyAlignment="1">
      <alignment horizontal="center"/>
    </xf>
    <xf numFmtId="9" fontId="0" fillId="2" borderId="5" xfId="7" applyFont="1" applyFill="1" applyBorder="1" applyAlignment="1">
      <alignment horizontal="center"/>
    </xf>
    <xf numFmtId="170" fontId="0" fillId="2" borderId="5" xfId="0" applyNumberFormat="1" applyFill="1" applyBorder="1" applyAlignment="1">
      <alignment horizontal="center"/>
    </xf>
    <xf numFmtId="172" fontId="0" fillId="2" borderId="5" xfId="7" applyNumberFormat="1" applyFont="1" applyFill="1" applyBorder="1" applyAlignment="1">
      <alignment horizontal="center"/>
    </xf>
    <xf numFmtId="9" fontId="0" fillId="2" borderId="5" xfId="7" applyNumberFormat="1" applyFont="1" applyFill="1" applyBorder="1" applyAlignment="1">
      <alignment horizontal="center"/>
    </xf>
    <xf numFmtId="170" fontId="0" fillId="2" borderId="7" xfId="0" applyNumberFormat="1" applyFill="1" applyBorder="1" applyAlignment="1">
      <alignment horizontal="center"/>
    </xf>
    <xf numFmtId="10" fontId="0" fillId="2" borderId="7" xfId="7" applyNumberFormat="1" applyFont="1" applyFill="1" applyBorder="1" applyAlignment="1">
      <alignment horizontal="center"/>
    </xf>
    <xf numFmtId="170" fontId="0" fillId="2" borderId="5" xfId="0" applyNumberFormat="1" applyFill="1" applyBorder="1" applyAlignment="1">
      <alignment horizontal="left"/>
    </xf>
    <xf numFmtId="0" fontId="32" fillId="8" borderId="0" xfId="0" applyFont="1" applyFill="1" applyAlignment="1">
      <alignment horizontal="center" wrapText="1"/>
    </xf>
    <xf numFmtId="1" fontId="23" fillId="0" borderId="0" xfId="0" applyNumberFormat="1" applyFont="1"/>
    <xf numFmtId="2" fontId="0" fillId="2" borderId="0" xfId="0" applyNumberFormat="1" applyFill="1" applyAlignment="1">
      <alignment horizontal="center"/>
    </xf>
    <xf numFmtId="2" fontId="0" fillId="2" borderId="5" xfId="0" applyNumberFormat="1" applyFill="1" applyBorder="1" applyAlignment="1">
      <alignment horizontal="center"/>
    </xf>
    <xf numFmtId="169" fontId="0" fillId="2" borderId="5" xfId="0" applyNumberFormat="1" applyFill="1" applyBorder="1" applyAlignment="1">
      <alignment horizontal="center"/>
    </xf>
    <xf numFmtId="1" fontId="0" fillId="2" borderId="5" xfId="0" applyNumberFormat="1" applyFill="1" applyBorder="1" applyAlignment="1">
      <alignment horizontal="center"/>
    </xf>
    <xf numFmtId="1" fontId="0" fillId="2" borderId="0" xfId="7" applyNumberFormat="1" applyFont="1" applyFill="1" applyAlignment="1">
      <alignment horizontal="center"/>
    </xf>
    <xf numFmtId="1" fontId="0" fillId="2" borderId="5" xfId="7" applyNumberFormat="1" applyFont="1" applyFill="1" applyBorder="1" applyAlignment="1">
      <alignment horizontal="center"/>
    </xf>
    <xf numFmtId="0" fontId="32" fillId="2" borderId="0" xfId="0" applyFont="1" applyFill="1" applyAlignment="1">
      <alignment horizontal="center" wrapText="1"/>
    </xf>
    <xf numFmtId="0" fontId="0" fillId="0" borderId="0" xfId="0" applyAlignment="1">
      <alignment horizontal="center"/>
    </xf>
    <xf numFmtId="0" fontId="0" fillId="0" borderId="5" xfId="0" applyBorder="1"/>
    <xf numFmtId="173" fontId="0" fillId="2" borderId="5" xfId="7" applyNumberFormat="1" applyFont="1" applyFill="1" applyBorder="1" applyAlignment="1">
      <alignment horizontal="center"/>
    </xf>
    <xf numFmtId="166" fontId="0" fillId="2" borderId="5" xfId="0" applyNumberFormat="1" applyFill="1" applyBorder="1" applyAlignment="1">
      <alignment horizontal="center"/>
    </xf>
    <xf numFmtId="3" fontId="4" fillId="2" borderId="5" xfId="0" applyNumberFormat="1" applyFont="1" applyFill="1" applyBorder="1" applyAlignment="1">
      <alignment horizontal="center" vertical="center" wrapText="1"/>
    </xf>
    <xf numFmtId="171" fontId="4" fillId="2" borderId="5" xfId="0" applyNumberFormat="1" applyFont="1" applyFill="1" applyBorder="1" applyAlignment="1">
      <alignment horizontal="center" vertical="center" wrapText="1"/>
    </xf>
    <xf numFmtId="170" fontId="4" fillId="2" borderId="5" xfId="7" applyNumberFormat="1" applyFont="1" applyFill="1" applyBorder="1" applyAlignment="1">
      <alignment horizontal="center" vertical="center" wrapText="1"/>
    </xf>
    <xf numFmtId="168" fontId="4" fillId="2" borderId="5" xfId="0" applyNumberFormat="1" applyFont="1" applyFill="1" applyBorder="1" applyAlignment="1">
      <alignment horizontal="center" vertical="center" wrapText="1"/>
    </xf>
    <xf numFmtId="172" fontId="4" fillId="2" borderId="5" xfId="7" applyNumberFormat="1" applyFont="1" applyFill="1" applyBorder="1" applyAlignment="1">
      <alignment horizontal="center" vertical="center" wrapText="1"/>
    </xf>
    <xf numFmtId="9" fontId="0" fillId="2" borderId="0" xfId="7" applyFont="1" applyFill="1" applyAlignment="1">
      <alignment horizontal="center" vertical="center"/>
    </xf>
    <xf numFmtId="0" fontId="0" fillId="2" borderId="0" xfId="0" applyFill="1" applyAlignment="1">
      <alignment horizontal="center" vertical="center" wrapText="1"/>
    </xf>
    <xf numFmtId="0" fontId="26" fillId="10" borderId="0" xfId="0" applyFont="1" applyFill="1" applyAlignment="1">
      <alignment horizontal="center" vertical="center" wrapText="1"/>
    </xf>
    <xf numFmtId="0" fontId="0" fillId="0" borderId="0" xfId="0" applyAlignment="1">
      <alignment vertical="center" wrapText="1"/>
    </xf>
    <xf numFmtId="172" fontId="0" fillId="2" borderId="0" xfId="7" applyNumberFormat="1" applyFont="1" applyFill="1" applyAlignment="1">
      <alignment horizontal="center" vertical="center"/>
    </xf>
    <xf numFmtId="172" fontId="0" fillId="2" borderId="5" xfId="7" applyNumberFormat="1" applyFont="1" applyFill="1" applyBorder="1" applyAlignment="1">
      <alignment horizontal="center" vertical="center"/>
    </xf>
    <xf numFmtId="9" fontId="0" fillId="2" borderId="5" xfId="7" applyFont="1" applyFill="1" applyBorder="1" applyAlignment="1">
      <alignment horizontal="center" vertical="center"/>
    </xf>
    <xf numFmtId="9" fontId="4" fillId="2" borderId="0" xfId="7" applyFont="1" applyFill="1" applyAlignment="1">
      <alignment horizontal="center" vertical="center" wrapText="1"/>
    </xf>
    <xf numFmtId="3" fontId="23" fillId="2" borderId="0" xfId="0" applyNumberFormat="1" applyFont="1" applyFill="1" applyAlignment="1">
      <alignment horizontal="center" vertical="center"/>
    </xf>
    <xf numFmtId="3" fontId="23" fillId="2" borderId="0" xfId="0" applyNumberFormat="1" applyFont="1" applyFill="1" applyAlignment="1">
      <alignment vertical="center"/>
    </xf>
    <xf numFmtId="3" fontId="23" fillId="2" borderId="0" xfId="0" applyNumberFormat="1" applyFont="1" applyFill="1"/>
    <xf numFmtId="4" fontId="23" fillId="2" borderId="0" xfId="0" applyNumberFormat="1" applyFont="1" applyFill="1" applyAlignment="1">
      <alignment horizontal="center" vertical="center" wrapText="1"/>
    </xf>
    <xf numFmtId="0" fontId="20" fillId="4" borderId="0" xfId="0" applyFont="1" applyFill="1" applyAlignment="1">
      <alignment horizontal="center" vertical="center"/>
    </xf>
    <xf numFmtId="0" fontId="29" fillId="13" borderId="0" xfId="11"/>
    <xf numFmtId="0" fontId="26" fillId="13" borderId="0" xfId="11" applyFont="1" applyAlignment="1">
      <alignment horizontal="center"/>
    </xf>
    <xf numFmtId="0" fontId="33" fillId="0" borderId="0" xfId="0" applyFont="1" applyFill="1"/>
    <xf numFmtId="0" fontId="33" fillId="15" borderId="0" xfId="0" applyFont="1" applyFill="1" applyAlignment="1">
      <alignment horizontal="center"/>
    </xf>
    <xf numFmtId="0" fontId="0" fillId="0" borderId="0" xfId="0"/>
    <xf numFmtId="0" fontId="20" fillId="0" borderId="0" xfId="0" applyFont="1"/>
    <xf numFmtId="0" fontId="23" fillId="0" borderId="0" xfId="0" applyFont="1"/>
    <xf numFmtId="0" fontId="30" fillId="0" borderId="0" xfId="0" applyFont="1" applyBorder="1" applyAlignment="1">
      <alignment vertical="center"/>
    </xf>
    <xf numFmtId="3" fontId="24" fillId="0" borderId="0" xfId="7" applyNumberFormat="1" applyFont="1" applyFill="1" applyBorder="1" applyAlignment="1">
      <alignment vertical="center"/>
    </xf>
    <xf numFmtId="169" fontId="23" fillId="0" borderId="0" xfId="0" applyNumberFormat="1" applyFont="1"/>
    <xf numFmtId="17" fontId="23" fillId="0" borderId="0" xfId="0" applyNumberFormat="1" applyFont="1"/>
    <xf numFmtId="176" fontId="24" fillId="0" borderId="0" xfId="7" applyNumberFormat="1" applyFont="1" applyFill="1" applyBorder="1" applyAlignment="1">
      <alignment horizontal="center" vertical="center"/>
    </xf>
    <xf numFmtId="0" fontId="64" fillId="45" borderId="0" xfId="108" applyNumberFormat="1" applyFont="1"/>
    <xf numFmtId="0" fontId="64" fillId="43" borderId="0" xfId="14" applyNumberFormat="1" applyFont="1" applyAlignment="1">
      <alignment vertical="center"/>
    </xf>
    <xf numFmtId="0" fontId="24" fillId="0" borderId="2" xfId="0" applyFont="1" applyFill="1" applyBorder="1" applyAlignment="1">
      <alignment vertical="center"/>
    </xf>
    <xf numFmtId="0" fontId="30" fillId="2" borderId="0" xfId="0" applyFont="1" applyFill="1"/>
    <xf numFmtId="0" fontId="25" fillId="2" borderId="0" xfId="0" applyFont="1" applyFill="1"/>
    <xf numFmtId="169" fontId="65" fillId="2" borderId="0" xfId="0" applyNumberFormat="1" applyFont="1" applyFill="1" applyAlignment="1">
      <alignment horizontal="center"/>
    </xf>
    <xf numFmtId="169" fontId="24" fillId="2" borderId="0" xfId="0" applyNumberFormat="1" applyFont="1" applyFill="1" applyAlignment="1">
      <alignment horizontal="center"/>
    </xf>
    <xf numFmtId="0" fontId="30" fillId="2" borderId="25" xfId="0" applyFont="1" applyFill="1" applyBorder="1"/>
    <xf numFmtId="169" fontId="24" fillId="2" borderId="25" xfId="0" applyNumberFormat="1" applyFont="1" applyFill="1" applyBorder="1" applyAlignment="1">
      <alignment horizontal="center"/>
    </xf>
    <xf numFmtId="0" fontId="30" fillId="2" borderId="26" xfId="0" applyFont="1" applyFill="1" applyBorder="1"/>
    <xf numFmtId="0" fontId="30" fillId="2" borderId="26" xfId="0" applyFont="1" applyFill="1" applyBorder="1" applyAlignment="1">
      <alignment horizontal="center"/>
    </xf>
    <xf numFmtId="0" fontId="4" fillId="0" borderId="0" xfId="0" applyFont="1" applyAlignment="1">
      <alignment horizontal="center" vertical="center" wrapText="1"/>
    </xf>
    <xf numFmtId="0" fontId="7" fillId="3" borderId="0" xfId="0" applyFont="1" applyFill="1" applyAlignment="1">
      <alignment horizontal="center" vertical="center" wrapText="1"/>
    </xf>
    <xf numFmtId="0" fontId="4" fillId="2" borderId="0" xfId="0" applyFont="1" applyFill="1" applyAlignment="1">
      <alignment horizontal="center" vertical="center"/>
    </xf>
    <xf numFmtId="0" fontId="26" fillId="65" borderId="27" xfId="0" applyFont="1" applyFill="1" applyBorder="1" applyAlignment="1">
      <alignment vertical="center"/>
    </xf>
    <xf numFmtId="0" fontId="26" fillId="65" borderId="26" xfId="0" applyFont="1" applyFill="1" applyBorder="1" applyAlignment="1">
      <alignment vertical="center"/>
    </xf>
    <xf numFmtId="0" fontId="26" fillId="65" borderId="26" xfId="0" applyFont="1" applyFill="1" applyBorder="1" applyAlignment="1">
      <alignment horizontal="right" vertical="center"/>
    </xf>
    <xf numFmtId="0" fontId="26" fillId="65" borderId="28" xfId="0" applyFont="1" applyFill="1" applyBorder="1" applyAlignment="1">
      <alignment horizontal="right" vertical="center"/>
    </xf>
    <xf numFmtId="0" fontId="12" fillId="0" borderId="0" xfId="0" applyFont="1" applyFill="1" applyAlignment="1">
      <alignment vertical="center"/>
    </xf>
    <xf numFmtId="0" fontId="12" fillId="0" borderId="0" xfId="0" applyFont="1" applyBorder="1" applyAlignment="1">
      <alignment vertical="center"/>
    </xf>
    <xf numFmtId="3" fontId="12" fillId="0" borderId="0" xfId="7" applyNumberFormat="1" applyFont="1" applyFill="1" applyBorder="1" applyAlignment="1">
      <alignment vertical="center"/>
    </xf>
    <xf numFmtId="0" fontId="0" fillId="2" borderId="0" xfId="0" applyFill="1" applyBorder="1"/>
    <xf numFmtId="0" fontId="8" fillId="2" borderId="0" xfId="0" applyFont="1" applyFill="1" applyBorder="1" applyAlignment="1">
      <alignment horizontal="center"/>
    </xf>
    <xf numFmtId="0" fontId="12" fillId="2" borderId="0" xfId="0" applyFont="1" applyFill="1" applyBorder="1" applyAlignment="1">
      <alignment vertical="center"/>
    </xf>
    <xf numFmtId="169" fontId="0" fillId="2" borderId="0" xfId="0" applyNumberFormat="1" applyFill="1" applyBorder="1" applyAlignment="1">
      <alignment horizontal="center" vertical="center"/>
    </xf>
    <xf numFmtId="0" fontId="8" fillId="2" borderId="26" xfId="0" applyFont="1" applyFill="1" applyBorder="1"/>
    <xf numFmtId="0" fontId="8" fillId="2" borderId="26" xfId="0" applyFont="1" applyFill="1" applyBorder="1" applyAlignment="1">
      <alignment horizontal="center"/>
    </xf>
    <xf numFmtId="0" fontId="32" fillId="2" borderId="0" xfId="0" applyFont="1" applyFill="1" applyBorder="1" applyAlignment="1">
      <alignment vertical="center"/>
    </xf>
    <xf numFmtId="0" fontId="66" fillId="2" borderId="0" xfId="0" applyFont="1" applyFill="1" applyBorder="1" applyAlignment="1">
      <alignment vertical="center"/>
    </xf>
    <xf numFmtId="169" fontId="19" fillId="2" borderId="0" xfId="0" applyNumberFormat="1" applyFont="1" applyFill="1" applyBorder="1" applyAlignment="1">
      <alignment horizontal="center" vertical="center"/>
    </xf>
    <xf numFmtId="169" fontId="8" fillId="2" borderId="0" xfId="0" applyNumberFormat="1" applyFont="1" applyFill="1" applyBorder="1" applyAlignment="1">
      <alignment horizontal="center" vertical="center"/>
    </xf>
    <xf numFmtId="0" fontId="32" fillId="2" borderId="25" xfId="0" applyFont="1" applyFill="1" applyBorder="1" applyAlignment="1">
      <alignment vertical="center"/>
    </xf>
    <xf numFmtId="169" fontId="0" fillId="2" borderId="25" xfId="0" applyNumberFormat="1" applyFill="1" applyBorder="1" applyAlignment="1">
      <alignment horizontal="center" vertical="center"/>
    </xf>
    <xf numFmtId="172" fontId="0" fillId="0" borderId="0" xfId="7" applyNumberFormat="1" applyFont="1"/>
    <xf numFmtId="2" fontId="0" fillId="7" borderId="0" xfId="0" applyNumberFormat="1" applyFill="1" applyAlignment="1">
      <alignment horizontal="center"/>
    </xf>
    <xf numFmtId="2" fontId="34" fillId="0" borderId="0" xfId="0" applyNumberFormat="1" applyFont="1" applyAlignment="1">
      <alignment horizontal="center"/>
    </xf>
    <xf numFmtId="10" fontId="0" fillId="2" borderId="0" xfId="7" applyNumberFormat="1" applyFont="1" applyFill="1" applyAlignment="1">
      <alignment horizontal="center"/>
    </xf>
    <xf numFmtId="181" fontId="0" fillId="2" borderId="0" xfId="7" applyNumberFormat="1" applyFont="1" applyFill="1" applyAlignment="1">
      <alignment horizontal="center"/>
    </xf>
    <xf numFmtId="10" fontId="0" fillId="2" borderId="5" xfId="7" applyNumberFormat="1" applyFont="1" applyFill="1" applyBorder="1" applyAlignment="1">
      <alignment horizontal="center"/>
    </xf>
    <xf numFmtId="0" fontId="67" fillId="2" borderId="0" xfId="0" applyFont="1" applyFill="1" applyBorder="1" applyAlignment="1">
      <alignment vertical="center"/>
    </xf>
    <xf numFmtId="169" fontId="68" fillId="2" borderId="0" xfId="0" applyNumberFormat="1" applyFont="1" applyFill="1" applyBorder="1" applyAlignment="1">
      <alignment horizontal="center" vertical="center"/>
    </xf>
    <xf numFmtId="10" fontId="0" fillId="0" borderId="0" xfId="7" applyNumberFormat="1" applyFont="1"/>
    <xf numFmtId="170" fontId="0" fillId="8" borderId="0" xfId="0" applyNumberFormat="1" applyFill="1" applyBorder="1" applyAlignment="1">
      <alignment horizontal="left"/>
    </xf>
    <xf numFmtId="10" fontId="0" fillId="8" borderId="0" xfId="7" applyNumberFormat="1" applyFont="1" applyFill="1" applyBorder="1" applyAlignment="1">
      <alignment horizontal="center" vertical="center"/>
    </xf>
    <xf numFmtId="172" fontId="23" fillId="2" borderId="0" xfId="7" applyNumberFormat="1" applyFont="1" applyFill="1" applyAlignment="1">
      <alignment horizontal="center" vertical="center"/>
    </xf>
    <xf numFmtId="176" fontId="0" fillId="0" borderId="0" xfId="0" applyNumberFormat="1"/>
    <xf numFmtId="176" fontId="0" fillId="8" borderId="0" xfId="0" applyNumberFormat="1" applyFill="1"/>
    <xf numFmtId="0" fontId="0" fillId="2" borderId="0" xfId="0" applyFill="1" applyAlignment="1">
      <alignment horizontal="center" vertical="center"/>
    </xf>
    <xf numFmtId="0" fontId="7" fillId="4" borderId="0" xfId="0" applyFont="1" applyFill="1" applyAlignment="1">
      <alignment horizontal="center" vertical="center" wrapText="1"/>
    </xf>
    <xf numFmtId="0" fontId="9" fillId="2" borderId="0" xfId="0" applyFont="1" applyFill="1" applyAlignment="1">
      <alignment horizontal="center"/>
    </xf>
    <xf numFmtId="0" fontId="34" fillId="2" borderId="30"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31" xfId="0" applyFont="1" applyFill="1" applyBorder="1" applyAlignment="1">
      <alignment horizontal="center" vertical="center" wrapText="1"/>
    </xf>
    <xf numFmtId="0" fontId="34" fillId="2" borderId="0" xfId="0" applyFont="1" applyFill="1" applyBorder="1" applyAlignment="1">
      <alignment horizontal="center"/>
    </xf>
    <xf numFmtId="0" fontId="34" fillId="2" borderId="0" xfId="0" applyFont="1" applyFill="1" applyAlignment="1">
      <alignment horizontal="center"/>
    </xf>
    <xf numFmtId="3" fontId="34" fillId="2" borderId="0" xfId="0" applyNumberFormat="1" applyFont="1" applyFill="1" applyBorder="1" applyAlignment="1">
      <alignment horizontal="center" vertical="center" wrapText="1"/>
    </xf>
    <xf numFmtId="3" fontId="34" fillId="2" borderId="0" xfId="0" applyNumberFormat="1" applyFont="1" applyFill="1" applyAlignment="1">
      <alignment horizontal="center" vertical="center" wrapText="1"/>
    </xf>
    <xf numFmtId="168" fontId="34" fillId="2" borderId="0" xfId="0" applyNumberFormat="1" applyFont="1" applyFill="1" applyBorder="1" applyAlignment="1">
      <alignment horizontal="center" vertical="center" wrapText="1"/>
    </xf>
    <xf numFmtId="172" fontId="34" fillId="2" borderId="0" xfId="7" applyNumberFormat="1" applyFont="1" applyFill="1"/>
    <xf numFmtId="0" fontId="34" fillId="2" borderId="0" xfId="0" applyFont="1" applyFill="1"/>
    <xf numFmtId="0" fontId="34" fillId="2" borderId="0" xfId="0" applyFont="1" applyFill="1" applyBorder="1"/>
    <xf numFmtId="2" fontId="34" fillId="2" borderId="0" xfId="0" applyNumberFormat="1" applyFont="1" applyFill="1" applyBorder="1" applyAlignment="1">
      <alignment horizontal="center"/>
    </xf>
    <xf numFmtId="9" fontId="34" fillId="2" borderId="0" xfId="7" applyFont="1" applyFill="1" applyBorder="1" applyAlignment="1">
      <alignment horizontal="center" vertical="center" wrapText="1"/>
    </xf>
    <xf numFmtId="4" fontId="34" fillId="2" borderId="0" xfId="0" applyNumberFormat="1" applyFont="1" applyFill="1" applyBorder="1" applyAlignment="1">
      <alignment horizontal="center" vertical="center" wrapText="1"/>
    </xf>
    <xf numFmtId="176" fontId="34" fillId="2" borderId="0" xfId="0" applyNumberFormat="1" applyFont="1" applyFill="1" applyBorder="1" applyAlignment="1">
      <alignment horizontal="center" vertical="center" wrapText="1"/>
    </xf>
    <xf numFmtId="10" fontId="34" fillId="2" borderId="0" xfId="7" applyNumberFormat="1" applyFont="1" applyFill="1" applyBorder="1" applyAlignment="1">
      <alignment horizontal="center" vertical="center" wrapText="1"/>
    </xf>
    <xf numFmtId="167" fontId="34" fillId="2" borderId="0" xfId="0" applyNumberFormat="1" applyFont="1" applyFill="1" applyBorder="1" applyAlignment="1">
      <alignment horizontal="center" vertical="center" wrapText="1"/>
    </xf>
    <xf numFmtId="3" fontId="34" fillId="2" borderId="0" xfId="0" applyNumberFormat="1" applyFont="1" applyFill="1" applyBorder="1" applyAlignment="1">
      <alignment horizontal="center"/>
    </xf>
    <xf numFmtId="0" fontId="69" fillId="2" borderId="0" xfId="0" applyFont="1" applyFill="1" applyBorder="1" applyAlignment="1">
      <alignment horizontal="center" vertical="center" wrapText="1"/>
    </xf>
    <xf numFmtId="172" fontId="34" fillId="2" borderId="0" xfId="7" applyNumberFormat="1" applyFont="1" applyFill="1" applyBorder="1" applyAlignment="1">
      <alignment horizontal="center"/>
    </xf>
    <xf numFmtId="3" fontId="34" fillId="2" borderId="0" xfId="2279" applyNumberFormat="1" applyFont="1" applyFill="1" applyBorder="1" applyAlignment="1">
      <alignment horizontal="center"/>
    </xf>
    <xf numFmtId="1" fontId="5" fillId="2" borderId="0" xfId="0" quotePrefix="1" applyNumberFormat="1" applyFont="1" applyFill="1" applyBorder="1" applyAlignment="1">
      <alignment horizontal="center"/>
    </xf>
    <xf numFmtId="1" fontId="6" fillId="2" borderId="0" xfId="0" quotePrefix="1" applyNumberFormat="1" applyFont="1" applyFill="1" applyBorder="1" applyAlignment="1">
      <alignment horizontal="center"/>
    </xf>
    <xf numFmtId="169" fontId="5" fillId="2" borderId="0" xfId="0" quotePrefix="1" applyNumberFormat="1" applyFont="1" applyFill="1" applyBorder="1" applyAlignment="1">
      <alignment horizontal="center"/>
    </xf>
    <xf numFmtId="2" fontId="34" fillId="2" borderId="0" xfId="7" applyNumberFormat="1" applyFont="1" applyFill="1" applyBorder="1" applyAlignment="1">
      <alignment horizontal="center" vertical="center" wrapText="1"/>
    </xf>
    <xf numFmtId="0" fontId="71" fillId="2" borderId="0" xfId="0" applyFont="1" applyFill="1" applyBorder="1" applyAlignment="1">
      <alignment horizontal="left"/>
    </xf>
    <xf numFmtId="0" fontId="0" fillId="2" borderId="0" xfId="0" applyFont="1" applyFill="1"/>
    <xf numFmtId="0" fontId="9" fillId="2" borderId="0" xfId="0" applyFont="1" applyFill="1"/>
    <xf numFmtId="0" fontId="70" fillId="2" borderId="0" xfId="0" applyFont="1" applyFill="1"/>
    <xf numFmtId="0" fontId="70" fillId="2" borderId="2" xfId="0" applyFont="1" applyFill="1" applyBorder="1"/>
    <xf numFmtId="0" fontId="71" fillId="2" borderId="2" xfId="0" applyFont="1" applyFill="1" applyBorder="1" applyAlignment="1">
      <alignment horizontal="center"/>
    </xf>
    <xf numFmtId="0" fontId="71" fillId="2" borderId="2" xfId="0" applyFont="1" applyFill="1" applyBorder="1"/>
    <xf numFmtId="10" fontId="70" fillId="2" borderId="2" xfId="0" applyNumberFormat="1" applyFont="1" applyFill="1" applyBorder="1"/>
    <xf numFmtId="0" fontId="10" fillId="2" borderId="0" xfId="0" applyFont="1" applyFill="1"/>
    <xf numFmtId="1" fontId="72" fillId="2" borderId="0" xfId="2278" applyNumberFormat="1" applyFont="1" applyFill="1" applyBorder="1" applyAlignment="1">
      <alignment horizontal="center" vertical="center"/>
    </xf>
    <xf numFmtId="165" fontId="72" fillId="2" borderId="0" xfId="2277" quotePrefix="1" applyFont="1" applyFill="1" applyAlignment="1" applyProtection="1">
      <alignment horizontal="center"/>
      <protection locked="0"/>
    </xf>
    <xf numFmtId="0" fontId="72" fillId="2" borderId="0" xfId="2276" applyNumberFormat="1" applyFont="1" applyFill="1" applyBorder="1" applyAlignment="1" applyProtection="1">
      <alignment horizontal="center"/>
      <protection locked="0"/>
    </xf>
    <xf numFmtId="0" fontId="72" fillId="2" borderId="0" xfId="2276" quotePrefix="1" applyNumberFormat="1" applyFont="1" applyFill="1" applyBorder="1" applyAlignment="1" applyProtection="1">
      <alignment horizontal="center" vertical="center"/>
      <protection locked="0"/>
    </xf>
    <xf numFmtId="179" fontId="72" fillId="2" borderId="0" xfId="2276" applyFont="1" applyFill="1" applyAlignment="1" applyProtection="1">
      <alignment horizontal="center"/>
      <protection locked="0"/>
    </xf>
    <xf numFmtId="0" fontId="72" fillId="2" borderId="0" xfId="2277" quotePrefix="1" applyNumberFormat="1" applyFont="1" applyFill="1" applyAlignment="1" applyProtection="1">
      <alignment horizontal="center"/>
      <protection locked="0"/>
    </xf>
    <xf numFmtId="165" fontId="72" fillId="2" borderId="0" xfId="2266" applyFont="1" applyFill="1" applyAlignment="1">
      <alignment horizontal="center"/>
    </xf>
    <xf numFmtId="165" fontId="72" fillId="2" borderId="0" xfId="2272" applyFont="1" applyFill="1" applyAlignment="1">
      <alignment horizontal="center"/>
    </xf>
    <xf numFmtId="165" fontId="72" fillId="2" borderId="0" xfId="2277" applyFont="1" applyFill="1" applyAlignment="1">
      <alignment horizontal="center"/>
    </xf>
    <xf numFmtId="0" fontId="72" fillId="2" borderId="0" xfId="2277" applyNumberFormat="1" applyFont="1" applyFill="1" applyAlignment="1">
      <alignment horizontal="center"/>
    </xf>
    <xf numFmtId="165" fontId="72" fillId="2" borderId="0" xfId="13" applyFont="1" applyFill="1" applyAlignment="1">
      <alignment horizontal="center"/>
    </xf>
    <xf numFmtId="0" fontId="72" fillId="2" borderId="29" xfId="2277" applyNumberFormat="1" applyFont="1" applyFill="1" applyBorder="1" applyAlignment="1" applyProtection="1">
      <alignment horizontal="center"/>
      <protection locked="0"/>
    </xf>
    <xf numFmtId="165" fontId="72" fillId="2" borderId="29" xfId="2277" applyFont="1" applyFill="1" applyBorder="1" applyAlignment="1" applyProtection="1">
      <alignment horizontal="center"/>
      <protection locked="0"/>
    </xf>
    <xf numFmtId="2" fontId="34" fillId="2" borderId="0" xfId="0" applyNumberFormat="1" applyFont="1" applyFill="1" applyAlignment="1">
      <alignment horizontal="center"/>
    </xf>
    <xf numFmtId="179" fontId="10" fillId="2" borderId="0" xfId="2276" applyFont="1" applyFill="1" applyBorder="1" applyAlignment="1">
      <alignment horizontal="center" vertical="center" wrapText="1"/>
    </xf>
    <xf numFmtId="0" fontId="9" fillId="3" borderId="0" xfId="0" applyFont="1" applyFill="1" applyAlignment="1">
      <alignment horizontal="center" vertical="center" wrapText="1"/>
    </xf>
    <xf numFmtId="1" fontId="34" fillId="2" borderId="0" xfId="0" applyNumberFormat="1" applyFont="1" applyFill="1" applyAlignment="1">
      <alignment horizontal="center" vertical="center" wrapText="1"/>
    </xf>
    <xf numFmtId="4" fontId="34" fillId="2" borderId="0" xfId="0" applyNumberFormat="1" applyFont="1" applyFill="1" applyAlignment="1">
      <alignment horizontal="center" vertical="center" wrapText="1"/>
    </xf>
    <xf numFmtId="0" fontId="71" fillId="0" borderId="0" xfId="0" applyFont="1" applyBorder="1" applyAlignment="1">
      <alignment horizontal="center" wrapText="1"/>
    </xf>
    <xf numFmtId="49" fontId="0" fillId="2" borderId="0" xfId="0" applyNumberFormat="1" applyFill="1" applyAlignment="1">
      <alignment horizontal="center" vertical="center"/>
    </xf>
    <xf numFmtId="0" fontId="0" fillId="2" borderId="0" xfId="0" applyFill="1" applyBorder="1" applyAlignment="1">
      <alignment horizontal="center" vertical="center" wrapText="1"/>
    </xf>
    <xf numFmtId="49" fontId="34" fillId="2" borderId="0" xfId="0" applyNumberFormat="1" applyFont="1" applyFill="1" applyBorder="1"/>
    <xf numFmtId="0" fontId="71" fillId="2" borderId="0" xfId="0" applyFont="1" applyFill="1" applyBorder="1" applyAlignment="1">
      <alignment horizontal="center" wrapText="1"/>
    </xf>
    <xf numFmtId="165" fontId="72" fillId="2" borderId="0" xfId="2277" applyFont="1" applyFill="1" applyBorder="1" applyAlignment="1" applyProtection="1">
      <alignment horizontal="center"/>
      <protection locked="0"/>
    </xf>
    <xf numFmtId="172" fontId="0" fillId="2" borderId="0" xfId="0" applyNumberFormat="1" applyFill="1"/>
    <xf numFmtId="9" fontId="0" fillId="2" borderId="0" xfId="0" applyNumberFormat="1" applyFill="1" applyBorder="1" applyAlignment="1">
      <alignment horizontal="center"/>
    </xf>
    <xf numFmtId="0" fontId="34" fillId="2" borderId="0" xfId="0" applyFont="1" applyFill="1" applyBorder="1" applyAlignment="1">
      <alignment horizontal="center" vertical="center" wrapText="1"/>
    </xf>
    <xf numFmtId="172" fontId="0" fillId="2" borderId="0" xfId="0" applyNumberFormat="1" applyFill="1" applyBorder="1" applyAlignment="1">
      <alignment horizontal="center"/>
    </xf>
    <xf numFmtId="14" fontId="77" fillId="2" borderId="0" xfId="2282" applyNumberFormat="1" applyFont="1" applyFill="1" applyAlignment="1" applyProtection="1">
      <alignment vertical="center" wrapText="1"/>
    </xf>
    <xf numFmtId="0" fontId="77" fillId="2" borderId="0" xfId="2282" applyNumberFormat="1" applyFont="1" applyFill="1" applyAlignment="1" applyProtection="1">
      <alignment horizontal="center" vertical="center" wrapText="1"/>
    </xf>
    <xf numFmtId="0" fontId="77" fillId="2" borderId="0" xfId="2282" applyNumberFormat="1" applyFont="1" applyFill="1" applyAlignment="1" applyProtection="1">
      <alignment vertical="center" wrapText="1"/>
    </xf>
    <xf numFmtId="0" fontId="77" fillId="2" borderId="0" xfId="2282" applyNumberFormat="1" applyFont="1" applyFill="1" applyBorder="1" applyAlignment="1" applyProtection="1">
      <alignment horizontal="center" vertical="center" wrapText="1"/>
    </xf>
    <xf numFmtId="2" fontId="79" fillId="2" borderId="26" xfId="2281" applyNumberFormat="1" applyFont="1" applyFill="1" applyBorder="1" applyAlignment="1" applyProtection="1">
      <alignment horizontal="center" vertical="center" wrapText="1"/>
    </xf>
    <xf numFmtId="2" fontId="79" fillId="2" borderId="32" xfId="2281" applyNumberFormat="1" applyFont="1" applyFill="1" applyBorder="1" applyAlignment="1" applyProtection="1">
      <alignment horizontal="center" vertical="center" wrapText="1"/>
    </xf>
    <xf numFmtId="9" fontId="77" fillId="2" borderId="0" xfId="7" applyFont="1" applyFill="1" applyAlignment="1" applyProtection="1">
      <alignment horizontal="center" vertical="center" wrapText="1"/>
    </xf>
    <xf numFmtId="17" fontId="70" fillId="2" borderId="0" xfId="0" applyNumberFormat="1" applyFont="1" applyFill="1" applyBorder="1" applyAlignment="1">
      <alignment horizontal="center" vertical="center" wrapText="1"/>
    </xf>
    <xf numFmtId="4" fontId="77" fillId="67" borderId="0" xfId="2281" applyNumberFormat="1" applyFont="1" applyFill="1" applyAlignment="1" applyProtection="1">
      <alignment horizontal="center" vertical="center" wrapText="1"/>
    </xf>
    <xf numFmtId="4" fontId="77" fillId="2" borderId="0" xfId="2281" applyNumberFormat="1" applyFont="1" applyFill="1" applyAlignment="1" applyProtection="1">
      <alignment horizontal="center" vertical="center" wrapText="1"/>
    </xf>
    <xf numFmtId="4" fontId="80" fillId="67" borderId="0" xfId="2281" applyNumberFormat="1" applyFont="1" applyFill="1" applyAlignment="1" applyProtection="1">
      <alignment horizontal="center" vertical="center" wrapText="1"/>
    </xf>
    <xf numFmtId="4" fontId="80" fillId="2" borderId="0" xfId="2281" applyNumberFormat="1" applyFont="1" applyFill="1" applyAlignment="1" applyProtection="1">
      <alignment horizontal="center" vertical="center" wrapText="1"/>
    </xf>
    <xf numFmtId="4" fontId="80" fillId="68" borderId="0" xfId="2280" applyNumberFormat="1" applyFont="1" applyFill="1" applyAlignment="1" applyProtection="1">
      <alignment horizontal="center" vertical="center" wrapText="1"/>
    </xf>
    <xf numFmtId="0" fontId="81" fillId="2" borderId="0" xfId="0" applyFont="1" applyFill="1"/>
    <xf numFmtId="17" fontId="34" fillId="2" borderId="0" xfId="0" applyNumberFormat="1" applyFont="1" applyFill="1"/>
    <xf numFmtId="0" fontId="8" fillId="2" borderId="0" xfId="0" applyFont="1" applyFill="1" applyAlignment="1">
      <alignment horizontal="center"/>
    </xf>
    <xf numFmtId="172" fontId="34" fillId="2" borderId="0" xfId="7" applyNumberFormat="1" applyFont="1" applyFill="1" applyBorder="1"/>
    <xf numFmtId="1" fontId="34" fillId="2" borderId="0" xfId="0" applyNumberFormat="1" applyFont="1" applyFill="1" applyBorder="1" applyAlignment="1">
      <alignment horizontal="center"/>
    </xf>
    <xf numFmtId="169" fontId="72" fillId="2" borderId="0" xfId="2278" applyNumberFormat="1" applyFont="1" applyFill="1" applyBorder="1" applyAlignment="1">
      <alignment horizontal="center" vertical="center"/>
    </xf>
    <xf numFmtId="2" fontId="72" fillId="2" borderId="0" xfId="2278" applyNumberFormat="1" applyFont="1" applyFill="1" applyBorder="1" applyAlignment="1">
      <alignment horizontal="center" vertical="center"/>
    </xf>
    <xf numFmtId="172" fontId="77" fillId="2" borderId="0" xfId="2282" applyNumberFormat="1" applyFont="1" applyFill="1" applyAlignment="1" applyProtection="1">
      <alignment horizontal="center" vertical="center" wrapText="1"/>
    </xf>
    <xf numFmtId="172" fontId="77" fillId="2" borderId="0" xfId="2282" applyNumberFormat="1" applyFont="1" applyFill="1" applyBorder="1" applyAlignment="1" applyProtection="1">
      <alignment horizontal="center" vertical="center" wrapText="1"/>
    </xf>
    <xf numFmtId="172" fontId="79" fillId="2" borderId="32" xfId="2281" applyNumberFormat="1" applyFont="1" applyFill="1" applyBorder="1" applyAlignment="1" applyProtection="1">
      <alignment horizontal="center" vertical="center" wrapText="1"/>
    </xf>
    <xf numFmtId="172" fontId="77" fillId="2" borderId="0" xfId="2281" applyNumberFormat="1" applyFont="1" applyFill="1" applyAlignment="1" applyProtection="1">
      <alignment horizontal="center" vertical="center" wrapText="1"/>
    </xf>
    <xf numFmtId="172" fontId="77" fillId="2" borderId="0" xfId="7" applyNumberFormat="1" applyFont="1" applyFill="1" applyAlignment="1" applyProtection="1">
      <alignment horizontal="center" vertical="center" wrapText="1"/>
    </xf>
    <xf numFmtId="0" fontId="20" fillId="2" borderId="0" xfId="0" applyFont="1" applyFill="1" applyBorder="1" applyAlignment="1">
      <alignment horizontal="center"/>
    </xf>
    <xf numFmtId="0" fontId="9" fillId="2" borderId="0" xfId="0" applyFont="1" applyFill="1" applyBorder="1" applyAlignment="1">
      <alignment horizontal="center" vertical="center" wrapText="1"/>
    </xf>
    <xf numFmtId="0" fontId="34" fillId="2" borderId="0" xfId="0" applyFont="1" applyFill="1" applyAlignment="1">
      <alignment horizontal="left"/>
    </xf>
    <xf numFmtId="0" fontId="72" fillId="2" borderId="0" xfId="2276" applyNumberFormat="1" applyFont="1" applyFill="1" applyBorder="1" applyAlignment="1" applyProtection="1">
      <alignment horizontal="left"/>
    </xf>
    <xf numFmtId="0" fontId="72" fillId="2" borderId="0" xfId="2276" applyNumberFormat="1" applyFont="1" applyFill="1" applyBorder="1" applyAlignment="1">
      <alignment horizontal="left"/>
    </xf>
    <xf numFmtId="0" fontId="72" fillId="2" borderId="0" xfId="2276" applyNumberFormat="1" applyFont="1" applyFill="1" applyAlignment="1" applyProtection="1">
      <alignment horizontal="left"/>
      <protection locked="0"/>
    </xf>
    <xf numFmtId="0" fontId="75" fillId="2" borderId="0" xfId="0" applyFont="1" applyFill="1" applyBorder="1" applyAlignment="1">
      <alignment horizontal="center" vertical="center" wrapText="1"/>
    </xf>
    <xf numFmtId="9" fontId="77" fillId="2" borderId="0" xfId="7" applyNumberFormat="1" applyFont="1" applyFill="1" applyAlignment="1" applyProtection="1">
      <alignment horizontal="center" vertical="center" wrapText="1"/>
    </xf>
    <xf numFmtId="172" fontId="79" fillId="2" borderId="26" xfId="2281" applyNumberFormat="1" applyFont="1" applyFill="1" applyBorder="1" applyAlignment="1" applyProtection="1">
      <alignment horizontal="center" vertical="center" wrapText="1"/>
    </xf>
    <xf numFmtId="4" fontId="77" fillId="69" borderId="0" xfId="2281" applyNumberFormat="1" applyFont="1" applyFill="1" applyAlignment="1" applyProtection="1">
      <alignment horizontal="center" vertical="center" wrapText="1"/>
    </xf>
    <xf numFmtId="0" fontId="78" fillId="70" borderId="0" xfId="6" applyNumberFormat="1" applyFont="1" applyFill="1" applyAlignment="1" applyProtection="1">
      <alignment vertical="center"/>
    </xf>
    <xf numFmtId="0" fontId="75" fillId="2" borderId="26" xfId="0" applyFont="1" applyFill="1" applyBorder="1" applyAlignment="1">
      <alignment vertical="center" wrapText="1"/>
    </xf>
    <xf numFmtId="0" fontId="74" fillId="2" borderId="0" xfId="0" applyFont="1" applyFill="1" applyBorder="1" applyAlignment="1">
      <alignment vertical="center" wrapText="1"/>
    </xf>
    <xf numFmtId="172" fontId="74" fillId="2" borderId="0" xfId="0" applyNumberFormat="1" applyFont="1" applyFill="1" applyBorder="1" applyAlignment="1">
      <alignment wrapText="1"/>
    </xf>
    <xf numFmtId="0" fontId="74" fillId="2" borderId="3" xfId="0" applyFont="1" applyFill="1" applyBorder="1" applyAlignment="1">
      <alignment vertical="center" wrapText="1"/>
    </xf>
    <xf numFmtId="172" fontId="74" fillId="2" borderId="3" xfId="0" applyNumberFormat="1" applyFont="1" applyFill="1" applyBorder="1" applyAlignment="1">
      <alignment wrapText="1"/>
    </xf>
    <xf numFmtId="0" fontId="73" fillId="2" borderId="26" xfId="0" applyFont="1" applyFill="1" applyBorder="1" applyAlignment="1">
      <alignment vertical="center" wrapText="1"/>
    </xf>
    <xf numFmtId="172" fontId="73" fillId="2" borderId="3" xfId="0" applyNumberFormat="1" applyFont="1" applyFill="1" applyBorder="1" applyAlignment="1">
      <alignment wrapText="1"/>
    </xf>
    <xf numFmtId="3" fontId="80" fillId="2" borderId="0" xfId="2285" applyNumberFormat="1" applyFont="1" applyFill="1" applyBorder="1" applyAlignment="1">
      <alignment horizontal="center"/>
    </xf>
    <xf numFmtId="3" fontId="83" fillId="2" borderId="0" xfId="2285" applyNumberFormat="1" applyFont="1" applyFill="1" applyBorder="1" applyAlignment="1">
      <alignment horizontal="center"/>
    </xf>
    <xf numFmtId="0" fontId="0" fillId="2" borderId="0" xfId="0" applyFont="1" applyFill="1" applyBorder="1" applyAlignment="1">
      <alignment horizontal="center"/>
    </xf>
    <xf numFmtId="0" fontId="0" fillId="2" borderId="0" xfId="0" applyFont="1" applyFill="1" applyBorder="1" applyAlignment="1">
      <alignment horizontal="center" vertical="center" wrapText="1"/>
    </xf>
    <xf numFmtId="0" fontId="0" fillId="2" borderId="0" xfId="0" applyFont="1" applyFill="1" applyBorder="1"/>
    <xf numFmtId="0" fontId="8" fillId="2" borderId="0" xfId="0" applyFont="1" applyFill="1" applyBorder="1"/>
    <xf numFmtId="0" fontId="8" fillId="2" borderId="0" xfId="0" applyFont="1" applyFill="1" applyBorder="1" applyAlignment="1">
      <alignment horizontal="center" vertical="center" wrapText="1"/>
    </xf>
    <xf numFmtId="3" fontId="0" fillId="2" borderId="0" xfId="0" applyNumberFormat="1" applyFont="1" applyFill="1" applyBorder="1" applyAlignment="1">
      <alignment horizontal="center" vertical="center" wrapText="1"/>
    </xf>
    <xf numFmtId="9" fontId="21" fillId="2" borderId="0" xfId="7" applyFont="1" applyFill="1" applyBorder="1" applyAlignment="1">
      <alignment horizontal="center" vertical="center" wrapText="1"/>
    </xf>
    <xf numFmtId="0" fontId="8" fillId="2" borderId="0" xfId="0" applyFont="1" applyFill="1" applyBorder="1" applyAlignment="1">
      <alignment vertical="center"/>
    </xf>
    <xf numFmtId="0" fontId="71" fillId="2" borderId="0" xfId="0" applyFont="1" applyFill="1" applyBorder="1" applyAlignment="1">
      <alignment horizontal="center" vertical="center" wrapText="1"/>
    </xf>
    <xf numFmtId="0" fontId="10" fillId="2" borderId="0" xfId="0" applyFont="1" applyFill="1" applyBorder="1" applyAlignment="1">
      <alignment horizontal="center"/>
    </xf>
    <xf numFmtId="2" fontId="86" fillId="2" borderId="33" xfId="2282" applyNumberFormat="1" applyFont="1" applyFill="1" applyBorder="1" applyAlignment="1" applyProtection="1">
      <alignment horizontal="center" vertical="center" wrapText="1"/>
    </xf>
    <xf numFmtId="2" fontId="86" fillId="2" borderId="0" xfId="2282" applyNumberFormat="1" applyFont="1" applyFill="1" applyBorder="1" applyAlignment="1" applyProtection="1">
      <alignment horizontal="center" vertical="center" wrapText="1"/>
    </xf>
    <xf numFmtId="0" fontId="0" fillId="2" borderId="0" xfId="0" applyFill="1" applyBorder="1" applyAlignment="1">
      <alignment horizontal="center"/>
    </xf>
    <xf numFmtId="172" fontId="0" fillId="2" borderId="0" xfId="7" applyNumberFormat="1" applyFont="1" applyFill="1" applyBorder="1" applyAlignment="1">
      <alignment horizontal="center"/>
    </xf>
    <xf numFmtId="2" fontId="86" fillId="2" borderId="32" xfId="2282" applyNumberFormat="1" applyFont="1" applyFill="1" applyBorder="1" applyAlignment="1" applyProtection="1">
      <alignment horizontal="center" vertical="center" wrapText="1"/>
    </xf>
    <xf numFmtId="0" fontId="9" fillId="2" borderId="0" xfId="0" applyFont="1" applyFill="1" applyBorder="1" applyAlignment="1">
      <alignment horizontal="center"/>
    </xf>
    <xf numFmtId="0" fontId="20" fillId="2" borderId="0" xfId="0" applyFont="1" applyFill="1" applyBorder="1" applyAlignment="1">
      <alignment vertical="center"/>
    </xf>
    <xf numFmtId="0" fontId="0" fillId="0" borderId="0" xfId="0" applyBorder="1" applyAlignment="1">
      <alignment horizontal="center" vertical="center" wrapText="1"/>
    </xf>
    <xf numFmtId="0" fontId="9" fillId="2" borderId="0" xfId="0" applyFont="1" applyFill="1" applyBorder="1" applyAlignment="1">
      <alignment horizontal="center" vertical="center"/>
    </xf>
    <xf numFmtId="0" fontId="10" fillId="2" borderId="0" xfId="2276" applyNumberFormat="1" applyFont="1" applyFill="1" applyBorder="1" applyAlignment="1" applyProtection="1">
      <alignment horizontal="center" vertical="center"/>
      <protection locked="0"/>
    </xf>
    <xf numFmtId="179" fontId="10" fillId="2" borderId="0" xfId="2276" applyFont="1" applyFill="1" applyBorder="1" applyAlignment="1" applyProtection="1">
      <alignment horizontal="center" vertical="center" wrapText="1"/>
      <protection locked="0"/>
    </xf>
    <xf numFmtId="173" fontId="9" fillId="66" borderId="0" xfId="0" applyNumberFormat="1" applyFont="1" applyFill="1" applyBorder="1" applyAlignment="1">
      <alignment horizontal="center" vertical="center"/>
    </xf>
    <xf numFmtId="49" fontId="86" fillId="2" borderId="33" xfId="2282" applyNumberFormat="1" applyFont="1" applyFill="1" applyBorder="1" applyAlignment="1" applyProtection="1">
      <alignment horizontal="center" vertical="center" wrapText="1"/>
    </xf>
    <xf numFmtId="9" fontId="34" fillId="2" borderId="0" xfId="7" applyNumberFormat="1" applyFont="1" applyFill="1"/>
    <xf numFmtId="9" fontId="34" fillId="2" borderId="0" xfId="0" applyNumberFormat="1" applyFont="1" applyFill="1"/>
    <xf numFmtId="17" fontId="34" fillId="2" borderId="0" xfId="0" applyNumberFormat="1" applyFont="1" applyFill="1" applyBorder="1"/>
    <xf numFmtId="49" fontId="86" fillId="2" borderId="34" xfId="2282" applyNumberFormat="1" applyFont="1" applyFill="1" applyBorder="1" applyAlignment="1" applyProtection="1">
      <alignment horizontal="center" vertical="center" wrapText="1"/>
    </xf>
    <xf numFmtId="172" fontId="34" fillId="2" borderId="0" xfId="7" applyNumberFormat="1" applyFont="1" applyFill="1" applyBorder="1" applyAlignment="1">
      <alignment horizontal="center" vertical="center" wrapText="1"/>
    </xf>
    <xf numFmtId="10" fontId="34" fillId="2" borderId="0" xfId="0" applyNumberFormat="1" applyFont="1" applyFill="1" applyBorder="1" applyAlignment="1">
      <alignment horizontal="center"/>
    </xf>
    <xf numFmtId="172" fontId="0" fillId="2" borderId="0" xfId="7" applyNumberFormat="1" applyFont="1" applyFill="1"/>
    <xf numFmtId="10" fontId="34" fillId="2" borderId="0" xfId="7" applyNumberFormat="1" applyFont="1" applyFill="1" applyBorder="1"/>
    <xf numFmtId="2" fontId="0" fillId="0" borderId="0" xfId="0" applyNumberFormat="1"/>
    <xf numFmtId="1" fontId="0" fillId="0" borderId="0" xfId="0" applyNumberFormat="1"/>
    <xf numFmtId="173" fontId="0" fillId="0" borderId="0" xfId="0" applyNumberFormat="1"/>
    <xf numFmtId="0" fontId="0" fillId="2" borderId="35" xfId="0" applyFill="1" applyBorder="1"/>
    <xf numFmtId="0" fontId="87" fillId="2" borderId="35" xfId="0" applyFont="1" applyFill="1" applyBorder="1"/>
    <xf numFmtId="0" fontId="87" fillId="2" borderId="35" xfId="0" applyFont="1" applyFill="1" applyBorder="1" applyAlignment="1">
      <alignment horizontal="center"/>
    </xf>
    <xf numFmtId="0" fontId="88" fillId="2" borderId="0" xfId="0" applyFont="1" applyFill="1"/>
    <xf numFmtId="0" fontId="88" fillId="2" borderId="0" xfId="0" applyFont="1" applyFill="1" applyAlignment="1">
      <alignment horizontal="center"/>
    </xf>
    <xf numFmtId="0" fontId="87" fillId="2" borderId="36" xfId="0" applyFont="1" applyFill="1" applyBorder="1"/>
    <xf numFmtId="0" fontId="87" fillId="2" borderId="36" xfId="0" applyFont="1" applyFill="1" applyBorder="1" applyAlignment="1">
      <alignment horizontal="center"/>
    </xf>
    <xf numFmtId="0" fontId="89" fillId="0" borderId="0" xfId="0" applyFont="1"/>
    <xf numFmtId="0" fontId="90" fillId="2" borderId="0" xfId="0" applyFont="1" applyFill="1" applyAlignment="1">
      <alignment horizontal="left"/>
    </xf>
    <xf numFmtId="0" fontId="90" fillId="0" borderId="0" xfId="0" applyFont="1"/>
    <xf numFmtId="0" fontId="91" fillId="0" borderId="0" xfId="2286" applyNumberFormat="1" applyFont="1" applyBorder="1" applyAlignment="1">
      <alignment horizontal="left"/>
    </xf>
    <xf numFmtId="3" fontId="92" fillId="0" borderId="0" xfId="2286" applyNumberFormat="1" applyFont="1" applyFill="1" applyBorder="1"/>
    <xf numFmtId="0" fontId="0" fillId="2" borderId="0" xfId="0" applyFill="1" applyAlignment="1">
      <alignment horizontal="center" vertical="center"/>
    </xf>
    <xf numFmtId="0" fontId="7" fillId="4" borderId="0" xfId="0" applyFont="1" applyFill="1" applyAlignment="1">
      <alignment horizontal="center" vertical="center" wrapText="1"/>
    </xf>
    <xf numFmtId="0" fontId="0" fillId="2" borderId="0" xfId="0" applyFill="1" applyAlignment="1">
      <alignment horizontal="left" vertical="center"/>
    </xf>
    <xf numFmtId="0" fontId="0" fillId="2" borderId="0" xfId="0" applyFill="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8" fillId="2" borderId="0" xfId="0" applyFont="1" applyFill="1" applyBorder="1" applyAlignment="1">
      <alignment horizontal="center" vertical="center" wrapText="1"/>
    </xf>
    <xf numFmtId="0" fontId="7" fillId="3" borderId="0" xfId="0" applyFont="1" applyFill="1" applyAlignment="1">
      <alignment horizontal="center" vertical="center" wrapText="1"/>
    </xf>
    <xf numFmtId="0" fontId="4" fillId="2" borderId="0" xfId="0" applyFont="1" applyFill="1" applyAlignment="1">
      <alignment horizontal="center" vertical="center"/>
    </xf>
    <xf numFmtId="0" fontId="7" fillId="5" borderId="0" xfId="0" applyFont="1" applyFill="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7" fillId="5" borderId="0" xfId="0" applyFont="1" applyFill="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left" vertical="top" wrapText="1"/>
    </xf>
    <xf numFmtId="0" fontId="5" fillId="0" borderId="0" xfId="6" applyFont="1" applyFill="1" applyAlignment="1">
      <alignment horizontal="center" vertical="center" wrapText="1"/>
    </xf>
    <xf numFmtId="0" fontId="20" fillId="3" borderId="0" xfId="0" applyFont="1" applyFill="1" applyAlignment="1">
      <alignment horizontal="center" vertical="center"/>
    </xf>
    <xf numFmtId="0" fontId="20" fillId="4" borderId="0" xfId="0" applyFont="1" applyFill="1" applyAlignment="1">
      <alignment horizontal="center" vertical="center" wrapText="1"/>
    </xf>
    <xf numFmtId="1" fontId="0" fillId="2" borderId="0" xfId="0" applyNumberFormat="1" applyFill="1" applyAlignment="1">
      <alignment horizontal="center" wrapText="1"/>
    </xf>
    <xf numFmtId="3" fontId="28" fillId="12" borderId="0" xfId="10" applyNumberFormat="1" applyAlignment="1">
      <alignment horizontal="center"/>
    </xf>
    <xf numFmtId="3" fontId="27" fillId="11" borderId="0" xfId="9" applyNumberFormat="1" applyAlignment="1">
      <alignment horizontal="center"/>
    </xf>
    <xf numFmtId="3" fontId="29" fillId="13" borderId="0" xfId="11" applyNumberFormat="1" applyBorder="1" applyAlignment="1">
      <alignment horizontal="center" vertical="center" wrapText="1"/>
    </xf>
    <xf numFmtId="3" fontId="29" fillId="13" borderId="0" xfId="11" applyNumberFormat="1" applyBorder="1" applyAlignment="1">
      <alignment horizontal="center"/>
    </xf>
    <xf numFmtId="0" fontId="7" fillId="2" borderId="0" xfId="0" applyFont="1" applyFill="1" applyAlignment="1">
      <alignment horizontal="center" vertical="center" wrapText="1"/>
    </xf>
    <xf numFmtId="0" fontId="8" fillId="8" borderId="0" xfId="0" applyFont="1" applyFill="1" applyAlignment="1">
      <alignment horizontal="center" vertical="center"/>
    </xf>
    <xf numFmtId="0" fontId="63" fillId="43" borderId="0" xfId="51" applyNumberFormat="1" applyFont="1" applyAlignment="1">
      <alignment horizontal="center"/>
    </xf>
    <xf numFmtId="0" fontId="20" fillId="25" borderId="0" xfId="2181" applyNumberFormat="1" applyFont="1" applyAlignment="1">
      <alignment horizontal="center"/>
    </xf>
    <xf numFmtId="0" fontId="0" fillId="0" borderId="0" xfId="0" applyAlignment="1">
      <alignment horizontal="center"/>
    </xf>
    <xf numFmtId="0" fontId="8" fillId="0" borderId="3" xfId="0" applyFont="1" applyBorder="1" applyAlignment="1">
      <alignment horizontal="center"/>
    </xf>
  </cellXfs>
  <cellStyles count="2287">
    <cellStyle name="20% - Énfasis1 10" xfId="15"/>
    <cellStyle name="20% - Énfasis1 11" xfId="16"/>
    <cellStyle name="20% - Énfasis1 12" xfId="17"/>
    <cellStyle name="20% - Énfasis1 13" xfId="18"/>
    <cellStyle name="20% - Énfasis1 14" xfId="19"/>
    <cellStyle name="20% - Énfasis1 15" xfId="20"/>
    <cellStyle name="20% - Énfasis1 16" xfId="21"/>
    <cellStyle name="20% - Énfasis1 17" xfId="22"/>
    <cellStyle name="20% - Énfasis1 18" xfId="23"/>
    <cellStyle name="20% - Énfasis1 19" xfId="24"/>
    <cellStyle name="20% - Énfasis1 2" xfId="25"/>
    <cellStyle name="20% - Énfasis1 20" xfId="26"/>
    <cellStyle name="20% - Énfasis1 21" xfId="27"/>
    <cellStyle name="20% - Énfasis1 22" xfId="28"/>
    <cellStyle name="20% - Énfasis1 23" xfId="29"/>
    <cellStyle name="20% - Énfasis1 24" xfId="30"/>
    <cellStyle name="20% - Énfasis1 25" xfId="31"/>
    <cellStyle name="20% - Énfasis1 26" xfId="32"/>
    <cellStyle name="20% - Énfasis1 27" xfId="33"/>
    <cellStyle name="20% - Énfasis1 28" xfId="34"/>
    <cellStyle name="20% - Énfasis1 29" xfId="35"/>
    <cellStyle name="20% - Énfasis1 3" xfId="36"/>
    <cellStyle name="20% - Énfasis1 30" xfId="37"/>
    <cellStyle name="20% - Énfasis1 31" xfId="38"/>
    <cellStyle name="20% - Énfasis1 32" xfId="39"/>
    <cellStyle name="20% - Énfasis1 33" xfId="40"/>
    <cellStyle name="20% - Énfasis1 34" xfId="41"/>
    <cellStyle name="20% - Énfasis1 35" xfId="42"/>
    <cellStyle name="20% - Énfasis1 36" xfId="43"/>
    <cellStyle name="20% - Énfasis1 37" xfId="44"/>
    <cellStyle name="20% - Énfasis1 38" xfId="45"/>
    <cellStyle name="20% - Énfasis1 39" xfId="46"/>
    <cellStyle name="20% - Énfasis1 4" xfId="47"/>
    <cellStyle name="20% - Énfasis1 40" xfId="48"/>
    <cellStyle name="20% - Énfasis1 41" xfId="49"/>
    <cellStyle name="20% - Énfasis1 42" xfId="50"/>
    <cellStyle name="20% - Énfasis1 43" xfId="51"/>
    <cellStyle name="20% - Énfasis1 44" xfId="52"/>
    <cellStyle name="20% - Énfasis1 45" xfId="53"/>
    <cellStyle name="20% - Énfasis1 46" xfId="54"/>
    <cellStyle name="20% - Énfasis1 46 2" xfId="1973"/>
    <cellStyle name="20% - Énfasis1 46 2 2" xfId="2084"/>
    <cellStyle name="20% - Énfasis1 46 2 3" xfId="2180"/>
    <cellStyle name="20% - Énfasis1 46 3" xfId="2011"/>
    <cellStyle name="20% - Énfasis1 46 3 2" xfId="2115"/>
    <cellStyle name="20% - Énfasis1 46 3 3" xfId="2211"/>
    <cellStyle name="20% - Énfasis1 46 4" xfId="2053"/>
    <cellStyle name="20% - Énfasis1 46 5" xfId="2149"/>
    <cellStyle name="20% - Énfasis1 47" xfId="14"/>
    <cellStyle name="20% - Énfasis1 5" xfId="55"/>
    <cellStyle name="20% - Énfasis1 6" xfId="56"/>
    <cellStyle name="20% - Énfasis1 7" xfId="57"/>
    <cellStyle name="20% - Énfasis1 8" xfId="58"/>
    <cellStyle name="20% - Énfasis1 9" xfId="59"/>
    <cellStyle name="20% - Énfasis2 10" xfId="61"/>
    <cellStyle name="20% - Énfasis2 11" xfId="62"/>
    <cellStyle name="20% - Énfasis2 12" xfId="63"/>
    <cellStyle name="20% - Énfasis2 13" xfId="64"/>
    <cellStyle name="20% - Énfasis2 14" xfId="65"/>
    <cellStyle name="20% - Énfasis2 15" xfId="66"/>
    <cellStyle name="20% - Énfasis2 16" xfId="67"/>
    <cellStyle name="20% - Énfasis2 17" xfId="68"/>
    <cellStyle name="20% - Énfasis2 18" xfId="69"/>
    <cellStyle name="20% - Énfasis2 19" xfId="70"/>
    <cellStyle name="20% - Énfasis2 2" xfId="71"/>
    <cellStyle name="20% - Énfasis2 20" xfId="72"/>
    <cellStyle name="20% - Énfasis2 21" xfId="73"/>
    <cellStyle name="20% - Énfasis2 22" xfId="74"/>
    <cellStyle name="20% - Énfasis2 23" xfId="75"/>
    <cellStyle name="20% - Énfasis2 24" xfId="76"/>
    <cellStyle name="20% - Énfasis2 25" xfId="77"/>
    <cellStyle name="20% - Énfasis2 26" xfId="78"/>
    <cellStyle name="20% - Énfasis2 27" xfId="79"/>
    <cellStyle name="20% - Énfasis2 28" xfId="80"/>
    <cellStyle name="20% - Énfasis2 29" xfId="81"/>
    <cellStyle name="20% - Énfasis2 3" xfId="82"/>
    <cellStyle name="20% - Énfasis2 30" xfId="83"/>
    <cellStyle name="20% - Énfasis2 31" xfId="84"/>
    <cellStyle name="20% - Énfasis2 32" xfId="85"/>
    <cellStyle name="20% - Énfasis2 33" xfId="86"/>
    <cellStyle name="20% - Énfasis2 34" xfId="87"/>
    <cellStyle name="20% - Énfasis2 35" xfId="88"/>
    <cellStyle name="20% - Énfasis2 36" xfId="89"/>
    <cellStyle name="20% - Énfasis2 37" xfId="90"/>
    <cellStyle name="20% - Énfasis2 38" xfId="91"/>
    <cellStyle name="20% - Énfasis2 39" xfId="92"/>
    <cellStyle name="20% - Énfasis2 4" xfId="93"/>
    <cellStyle name="20% - Énfasis2 40" xfId="94"/>
    <cellStyle name="20% - Énfasis2 41" xfId="95"/>
    <cellStyle name="20% - Énfasis2 42" xfId="96"/>
    <cellStyle name="20% - Énfasis2 43" xfId="97"/>
    <cellStyle name="20% - Énfasis2 44" xfId="98"/>
    <cellStyle name="20% - Énfasis2 45" xfId="99"/>
    <cellStyle name="20% - Énfasis2 46" xfId="100"/>
    <cellStyle name="20% - Énfasis2 46 2" xfId="1974"/>
    <cellStyle name="20% - Énfasis2 46 2 2" xfId="2085"/>
    <cellStyle name="20% - Énfasis2 46 2 3" xfId="2181"/>
    <cellStyle name="20% - Énfasis2 46 3" xfId="2012"/>
    <cellStyle name="20% - Énfasis2 46 3 2" xfId="2116"/>
    <cellStyle name="20% - Énfasis2 46 3 3" xfId="2212"/>
    <cellStyle name="20% - Énfasis2 46 4" xfId="2054"/>
    <cellStyle name="20% - Énfasis2 46 5" xfId="2150"/>
    <cellStyle name="20% - Énfasis2 47" xfId="60"/>
    <cellStyle name="20% - Énfasis2 5" xfId="101"/>
    <cellStyle name="20% - Énfasis2 6" xfId="102"/>
    <cellStyle name="20% - Énfasis2 7" xfId="103"/>
    <cellStyle name="20% - Énfasis2 8" xfId="104"/>
    <cellStyle name="20% - Énfasis2 9" xfId="105"/>
    <cellStyle name="20% - Énfasis3 10" xfId="107"/>
    <cellStyle name="20% - Énfasis3 11" xfId="108"/>
    <cellStyle name="20% - Énfasis3 12" xfId="109"/>
    <cellStyle name="20% - Énfasis3 13" xfId="110"/>
    <cellStyle name="20% - Énfasis3 14" xfId="111"/>
    <cellStyle name="20% - Énfasis3 15" xfId="112"/>
    <cellStyle name="20% - Énfasis3 16" xfId="113"/>
    <cellStyle name="20% - Énfasis3 17" xfId="114"/>
    <cellStyle name="20% - Énfasis3 18" xfId="115"/>
    <cellStyle name="20% - Énfasis3 19" xfId="116"/>
    <cellStyle name="20% - Énfasis3 2" xfId="117"/>
    <cellStyle name="20% - Énfasis3 20" xfId="118"/>
    <cellStyle name="20% - Énfasis3 21" xfId="119"/>
    <cellStyle name="20% - Énfasis3 22" xfId="120"/>
    <cellStyle name="20% - Énfasis3 23" xfId="121"/>
    <cellStyle name="20% - Énfasis3 24" xfId="122"/>
    <cellStyle name="20% - Énfasis3 25" xfId="123"/>
    <cellStyle name="20% - Énfasis3 26" xfId="124"/>
    <cellStyle name="20% - Énfasis3 27" xfId="125"/>
    <cellStyle name="20% - Énfasis3 28" xfId="126"/>
    <cellStyle name="20% - Énfasis3 29" xfId="127"/>
    <cellStyle name="20% - Énfasis3 3" xfId="128"/>
    <cellStyle name="20% - Énfasis3 30" xfId="129"/>
    <cellStyle name="20% - Énfasis3 31" xfId="130"/>
    <cellStyle name="20% - Énfasis3 32" xfId="131"/>
    <cellStyle name="20% - Énfasis3 33" xfId="132"/>
    <cellStyle name="20% - Énfasis3 34" xfId="133"/>
    <cellStyle name="20% - Énfasis3 35" xfId="134"/>
    <cellStyle name="20% - Énfasis3 36" xfId="135"/>
    <cellStyle name="20% - Énfasis3 37" xfId="136"/>
    <cellStyle name="20% - Énfasis3 38" xfId="137"/>
    <cellStyle name="20% - Énfasis3 39" xfId="138"/>
    <cellStyle name="20% - Énfasis3 4" xfId="139"/>
    <cellStyle name="20% - Énfasis3 40" xfId="140"/>
    <cellStyle name="20% - Énfasis3 41" xfId="141"/>
    <cellStyle name="20% - Énfasis3 42" xfId="142"/>
    <cellStyle name="20% - Énfasis3 43" xfId="143"/>
    <cellStyle name="20% - Énfasis3 44" xfId="144"/>
    <cellStyle name="20% - Énfasis3 45" xfId="145"/>
    <cellStyle name="20% - Énfasis3 46" xfId="146"/>
    <cellStyle name="20% - Énfasis3 46 2" xfId="1975"/>
    <cellStyle name="20% - Énfasis3 46 2 2" xfId="2086"/>
    <cellStyle name="20% - Énfasis3 46 2 3" xfId="2182"/>
    <cellStyle name="20% - Énfasis3 46 3" xfId="2013"/>
    <cellStyle name="20% - Énfasis3 46 3 2" xfId="2117"/>
    <cellStyle name="20% - Énfasis3 46 3 3" xfId="2213"/>
    <cellStyle name="20% - Énfasis3 46 4" xfId="2055"/>
    <cellStyle name="20% - Énfasis3 46 5" xfId="2151"/>
    <cellStyle name="20% - Énfasis3 47" xfId="106"/>
    <cellStyle name="20% - Énfasis3 5" xfId="147"/>
    <cellStyle name="20% - Énfasis3 6" xfId="148"/>
    <cellStyle name="20% - Énfasis3 7" xfId="149"/>
    <cellStyle name="20% - Énfasis3 8" xfId="150"/>
    <cellStyle name="20% - Énfasis3 9" xfId="151"/>
    <cellStyle name="20% - Énfasis4 10" xfId="153"/>
    <cellStyle name="20% - Énfasis4 11" xfId="154"/>
    <cellStyle name="20% - Énfasis4 12" xfId="155"/>
    <cellStyle name="20% - Énfasis4 13" xfId="156"/>
    <cellStyle name="20% - Énfasis4 14" xfId="157"/>
    <cellStyle name="20% - Énfasis4 15" xfId="158"/>
    <cellStyle name="20% - Énfasis4 16" xfId="159"/>
    <cellStyle name="20% - Énfasis4 17" xfId="160"/>
    <cellStyle name="20% - Énfasis4 18" xfId="161"/>
    <cellStyle name="20% - Énfasis4 19" xfId="162"/>
    <cellStyle name="20% - Énfasis4 2" xfId="163"/>
    <cellStyle name="20% - Énfasis4 20" xfId="164"/>
    <cellStyle name="20% - Énfasis4 21" xfId="165"/>
    <cellStyle name="20% - Énfasis4 22" xfId="166"/>
    <cellStyle name="20% - Énfasis4 23" xfId="167"/>
    <cellStyle name="20% - Énfasis4 24" xfId="168"/>
    <cellStyle name="20% - Énfasis4 25" xfId="169"/>
    <cellStyle name="20% - Énfasis4 26" xfId="170"/>
    <cellStyle name="20% - Énfasis4 27" xfId="171"/>
    <cellStyle name="20% - Énfasis4 28" xfId="172"/>
    <cellStyle name="20% - Énfasis4 29" xfId="173"/>
    <cellStyle name="20% - Énfasis4 3" xfId="174"/>
    <cellStyle name="20% - Énfasis4 30" xfId="175"/>
    <cellStyle name="20% - Énfasis4 31" xfId="176"/>
    <cellStyle name="20% - Énfasis4 32" xfId="177"/>
    <cellStyle name="20% - Énfasis4 33" xfId="178"/>
    <cellStyle name="20% - Énfasis4 34" xfId="179"/>
    <cellStyle name="20% - Énfasis4 35" xfId="180"/>
    <cellStyle name="20% - Énfasis4 36" xfId="181"/>
    <cellStyle name="20% - Énfasis4 37" xfId="182"/>
    <cellStyle name="20% - Énfasis4 38" xfId="183"/>
    <cellStyle name="20% - Énfasis4 39" xfId="184"/>
    <cellStyle name="20% - Énfasis4 4" xfId="185"/>
    <cellStyle name="20% - Énfasis4 40" xfId="186"/>
    <cellStyle name="20% - Énfasis4 41" xfId="187"/>
    <cellStyle name="20% - Énfasis4 42" xfId="188"/>
    <cellStyle name="20% - Énfasis4 43" xfId="189"/>
    <cellStyle name="20% - Énfasis4 44" xfId="190"/>
    <cellStyle name="20% - Énfasis4 45" xfId="191"/>
    <cellStyle name="20% - Énfasis4 46" xfId="192"/>
    <cellStyle name="20% - Énfasis4 46 2" xfId="1976"/>
    <cellStyle name="20% - Énfasis4 46 2 2" xfId="2087"/>
    <cellStyle name="20% - Énfasis4 46 2 3" xfId="2183"/>
    <cellStyle name="20% - Énfasis4 46 3" xfId="2014"/>
    <cellStyle name="20% - Énfasis4 46 3 2" xfId="2118"/>
    <cellStyle name="20% - Énfasis4 46 3 3" xfId="2214"/>
    <cellStyle name="20% - Énfasis4 46 4" xfId="2056"/>
    <cellStyle name="20% - Énfasis4 46 5" xfId="2152"/>
    <cellStyle name="20% - Énfasis4 47" xfId="152"/>
    <cellStyle name="20% - Énfasis4 5" xfId="193"/>
    <cellStyle name="20% - Énfasis4 6" xfId="194"/>
    <cellStyle name="20% - Énfasis4 7" xfId="195"/>
    <cellStyle name="20% - Énfasis4 8" xfId="196"/>
    <cellStyle name="20% - Énfasis4 9" xfId="197"/>
    <cellStyle name="20% - Énfasis5 10" xfId="199"/>
    <cellStyle name="20% - Énfasis5 11" xfId="200"/>
    <cellStyle name="20% - Énfasis5 12" xfId="201"/>
    <cellStyle name="20% - Énfasis5 13" xfId="202"/>
    <cellStyle name="20% - Énfasis5 14" xfId="203"/>
    <cellStyle name="20% - Énfasis5 15" xfId="204"/>
    <cellStyle name="20% - Énfasis5 16" xfId="205"/>
    <cellStyle name="20% - Énfasis5 17" xfId="206"/>
    <cellStyle name="20% - Énfasis5 18" xfId="207"/>
    <cellStyle name="20% - Énfasis5 19" xfId="208"/>
    <cellStyle name="20% - Énfasis5 2" xfId="209"/>
    <cellStyle name="20% - Énfasis5 20" xfId="210"/>
    <cellStyle name="20% - Énfasis5 21" xfId="211"/>
    <cellStyle name="20% - Énfasis5 22" xfId="212"/>
    <cellStyle name="20% - Énfasis5 23" xfId="213"/>
    <cellStyle name="20% - Énfasis5 24" xfId="214"/>
    <cellStyle name="20% - Énfasis5 25" xfId="215"/>
    <cellStyle name="20% - Énfasis5 26" xfId="216"/>
    <cellStyle name="20% - Énfasis5 27" xfId="217"/>
    <cellStyle name="20% - Énfasis5 28" xfId="218"/>
    <cellStyle name="20% - Énfasis5 29" xfId="219"/>
    <cellStyle name="20% - Énfasis5 3" xfId="220"/>
    <cellStyle name="20% - Énfasis5 30" xfId="221"/>
    <cellStyle name="20% - Énfasis5 31" xfId="222"/>
    <cellStyle name="20% - Énfasis5 32" xfId="223"/>
    <cellStyle name="20% - Énfasis5 33" xfId="224"/>
    <cellStyle name="20% - Énfasis5 34" xfId="225"/>
    <cellStyle name="20% - Énfasis5 35" xfId="226"/>
    <cellStyle name="20% - Énfasis5 36" xfId="227"/>
    <cellStyle name="20% - Énfasis5 37" xfId="228"/>
    <cellStyle name="20% - Énfasis5 38" xfId="229"/>
    <cellStyle name="20% - Énfasis5 39" xfId="230"/>
    <cellStyle name="20% - Énfasis5 4" xfId="231"/>
    <cellStyle name="20% - Énfasis5 40" xfId="232"/>
    <cellStyle name="20% - Énfasis5 41" xfId="233"/>
    <cellStyle name="20% - Énfasis5 42" xfId="234"/>
    <cellStyle name="20% - Énfasis5 43" xfId="235"/>
    <cellStyle name="20% - Énfasis5 44" xfId="236"/>
    <cellStyle name="20% - Énfasis5 45" xfId="237"/>
    <cellStyle name="20% - Énfasis5 46" xfId="238"/>
    <cellStyle name="20% - Énfasis5 46 2" xfId="1977"/>
    <cellStyle name="20% - Énfasis5 46 2 2" xfId="2088"/>
    <cellStyle name="20% - Énfasis5 46 2 3" xfId="2184"/>
    <cellStyle name="20% - Énfasis5 46 3" xfId="2015"/>
    <cellStyle name="20% - Énfasis5 46 3 2" xfId="2119"/>
    <cellStyle name="20% - Énfasis5 46 3 3" xfId="2215"/>
    <cellStyle name="20% - Énfasis5 46 4" xfId="2057"/>
    <cellStyle name="20% - Énfasis5 46 5" xfId="2153"/>
    <cellStyle name="20% - Énfasis5 47" xfId="198"/>
    <cellStyle name="20% - Énfasis5 5" xfId="239"/>
    <cellStyle name="20% - Énfasis5 6" xfId="240"/>
    <cellStyle name="20% - Énfasis5 7" xfId="241"/>
    <cellStyle name="20% - Énfasis5 8" xfId="242"/>
    <cellStyle name="20% - Énfasis5 9" xfId="243"/>
    <cellStyle name="20% - Énfasis6 10" xfId="245"/>
    <cellStyle name="20% - Énfasis6 11" xfId="246"/>
    <cellStyle name="20% - Énfasis6 12" xfId="247"/>
    <cellStyle name="20% - Énfasis6 13" xfId="248"/>
    <cellStyle name="20% - Énfasis6 14" xfId="249"/>
    <cellStyle name="20% - Énfasis6 15" xfId="250"/>
    <cellStyle name="20% - Énfasis6 16" xfId="251"/>
    <cellStyle name="20% - Énfasis6 17" xfId="252"/>
    <cellStyle name="20% - Énfasis6 18" xfId="253"/>
    <cellStyle name="20% - Énfasis6 19" xfId="254"/>
    <cellStyle name="20% - Énfasis6 2" xfId="255"/>
    <cellStyle name="20% - Énfasis6 20" xfId="256"/>
    <cellStyle name="20% - Énfasis6 21" xfId="257"/>
    <cellStyle name="20% - Énfasis6 22" xfId="258"/>
    <cellStyle name="20% - Énfasis6 23" xfId="259"/>
    <cellStyle name="20% - Énfasis6 24" xfId="260"/>
    <cellStyle name="20% - Énfasis6 25" xfId="261"/>
    <cellStyle name="20% - Énfasis6 26" xfId="262"/>
    <cellStyle name="20% - Énfasis6 27" xfId="263"/>
    <cellStyle name="20% - Énfasis6 28" xfId="264"/>
    <cellStyle name="20% - Énfasis6 29" xfId="265"/>
    <cellStyle name="20% - Énfasis6 3" xfId="266"/>
    <cellStyle name="20% - Énfasis6 30" xfId="267"/>
    <cellStyle name="20% - Énfasis6 31" xfId="268"/>
    <cellStyle name="20% - Énfasis6 32" xfId="269"/>
    <cellStyle name="20% - Énfasis6 33" xfId="270"/>
    <cellStyle name="20% - Énfasis6 34" xfId="271"/>
    <cellStyle name="20% - Énfasis6 35" xfId="272"/>
    <cellStyle name="20% - Énfasis6 36" xfId="273"/>
    <cellStyle name="20% - Énfasis6 37" xfId="274"/>
    <cellStyle name="20% - Énfasis6 38" xfId="275"/>
    <cellStyle name="20% - Énfasis6 39" xfId="276"/>
    <cellStyle name="20% - Énfasis6 4" xfId="277"/>
    <cellStyle name="20% - Énfasis6 40" xfId="278"/>
    <cellStyle name="20% - Énfasis6 41" xfId="279"/>
    <cellStyle name="20% - Énfasis6 42" xfId="280"/>
    <cellStyle name="20% - Énfasis6 43" xfId="281"/>
    <cellStyle name="20% - Énfasis6 44" xfId="282"/>
    <cellStyle name="20% - Énfasis6 45" xfId="283"/>
    <cellStyle name="20% - Énfasis6 46" xfId="284"/>
    <cellStyle name="20% - Énfasis6 46 2" xfId="1978"/>
    <cellStyle name="20% - Énfasis6 46 2 2" xfId="2089"/>
    <cellStyle name="20% - Énfasis6 46 2 3" xfId="2185"/>
    <cellStyle name="20% - Énfasis6 46 3" xfId="2016"/>
    <cellStyle name="20% - Énfasis6 46 3 2" xfId="2120"/>
    <cellStyle name="20% - Énfasis6 46 3 3" xfId="2216"/>
    <cellStyle name="20% - Énfasis6 46 4" xfId="2058"/>
    <cellStyle name="20% - Énfasis6 46 5" xfId="2154"/>
    <cellStyle name="20% - Énfasis6 47" xfId="244"/>
    <cellStyle name="20% - Énfasis6 5" xfId="285"/>
    <cellStyle name="20% - Énfasis6 6" xfId="286"/>
    <cellStyle name="20% - Énfasis6 7" xfId="287"/>
    <cellStyle name="20% - Énfasis6 8" xfId="288"/>
    <cellStyle name="20% - Énfasis6 9" xfId="289"/>
    <cellStyle name="40% - Énfasis1 10" xfId="291"/>
    <cellStyle name="40% - Énfasis1 11" xfId="292"/>
    <cellStyle name="40% - Énfasis1 12" xfId="293"/>
    <cellStyle name="40% - Énfasis1 13" xfId="294"/>
    <cellStyle name="40% - Énfasis1 14" xfId="295"/>
    <cellStyle name="40% - Énfasis1 15" xfId="296"/>
    <cellStyle name="40% - Énfasis1 16" xfId="297"/>
    <cellStyle name="40% - Énfasis1 17" xfId="298"/>
    <cellStyle name="40% - Énfasis1 18" xfId="299"/>
    <cellStyle name="40% - Énfasis1 19" xfId="300"/>
    <cellStyle name="40% - Énfasis1 2" xfId="301"/>
    <cellStyle name="40% - Énfasis1 20" xfId="302"/>
    <cellStyle name="40% - Énfasis1 21" xfId="303"/>
    <cellStyle name="40% - Énfasis1 22" xfId="304"/>
    <cellStyle name="40% - Énfasis1 23" xfId="305"/>
    <cellStyle name="40% - Énfasis1 24" xfId="306"/>
    <cellStyle name="40% - Énfasis1 25" xfId="307"/>
    <cellStyle name="40% - Énfasis1 26" xfId="308"/>
    <cellStyle name="40% - Énfasis1 27" xfId="309"/>
    <cellStyle name="40% - Énfasis1 28" xfId="310"/>
    <cellStyle name="40% - Énfasis1 29" xfId="311"/>
    <cellStyle name="40% - Énfasis1 3" xfId="312"/>
    <cellStyle name="40% - Énfasis1 30" xfId="313"/>
    <cellStyle name="40% - Énfasis1 31" xfId="314"/>
    <cellStyle name="40% - Énfasis1 32" xfId="315"/>
    <cellStyle name="40% - Énfasis1 33" xfId="316"/>
    <cellStyle name="40% - Énfasis1 34" xfId="317"/>
    <cellStyle name="40% - Énfasis1 35" xfId="318"/>
    <cellStyle name="40% - Énfasis1 36" xfId="319"/>
    <cellStyle name="40% - Énfasis1 37" xfId="320"/>
    <cellStyle name="40% - Énfasis1 38" xfId="321"/>
    <cellStyle name="40% - Énfasis1 39" xfId="322"/>
    <cellStyle name="40% - Énfasis1 4" xfId="323"/>
    <cellStyle name="40% - Énfasis1 40" xfId="324"/>
    <cellStyle name="40% - Énfasis1 41" xfId="325"/>
    <cellStyle name="40% - Énfasis1 42" xfId="326"/>
    <cellStyle name="40% - Énfasis1 43" xfId="327"/>
    <cellStyle name="40% - Énfasis1 44" xfId="328"/>
    <cellStyle name="40% - Énfasis1 45" xfId="329"/>
    <cellStyle name="40% - Énfasis1 46" xfId="330"/>
    <cellStyle name="40% - Énfasis1 46 2" xfId="1979"/>
    <cellStyle name="40% - Énfasis1 46 2 2" xfId="2090"/>
    <cellStyle name="40% - Énfasis1 46 2 3" xfId="2186"/>
    <cellStyle name="40% - Énfasis1 46 3" xfId="2017"/>
    <cellStyle name="40% - Énfasis1 46 3 2" xfId="2121"/>
    <cellStyle name="40% - Énfasis1 46 3 3" xfId="2217"/>
    <cellStyle name="40% - Énfasis1 46 4" xfId="2059"/>
    <cellStyle name="40% - Énfasis1 46 5" xfId="2155"/>
    <cellStyle name="40% - Énfasis1 47" xfId="290"/>
    <cellStyle name="40% - Énfasis1 5" xfId="331"/>
    <cellStyle name="40% - Énfasis1 6" xfId="332"/>
    <cellStyle name="40% - Énfasis1 7" xfId="333"/>
    <cellStyle name="40% - Énfasis1 8" xfId="334"/>
    <cellStyle name="40% - Énfasis1 9" xfId="335"/>
    <cellStyle name="40% - Énfasis2 10" xfId="337"/>
    <cellStyle name="40% - Énfasis2 11" xfId="338"/>
    <cellStyle name="40% - Énfasis2 12" xfId="339"/>
    <cellStyle name="40% - Énfasis2 13" xfId="340"/>
    <cellStyle name="40% - Énfasis2 14" xfId="341"/>
    <cellStyle name="40% - Énfasis2 15" xfId="342"/>
    <cellStyle name="40% - Énfasis2 16" xfId="343"/>
    <cellStyle name="40% - Énfasis2 17" xfId="344"/>
    <cellStyle name="40% - Énfasis2 18" xfId="345"/>
    <cellStyle name="40% - Énfasis2 19" xfId="346"/>
    <cellStyle name="40% - Énfasis2 2" xfId="347"/>
    <cellStyle name="40% - Énfasis2 20" xfId="348"/>
    <cellStyle name="40% - Énfasis2 21" xfId="349"/>
    <cellStyle name="40% - Énfasis2 22" xfId="350"/>
    <cellStyle name="40% - Énfasis2 23" xfId="351"/>
    <cellStyle name="40% - Énfasis2 24" xfId="352"/>
    <cellStyle name="40% - Énfasis2 25" xfId="353"/>
    <cellStyle name="40% - Énfasis2 26" xfId="354"/>
    <cellStyle name="40% - Énfasis2 27" xfId="355"/>
    <cellStyle name="40% - Énfasis2 28" xfId="356"/>
    <cellStyle name="40% - Énfasis2 29" xfId="357"/>
    <cellStyle name="40% - Énfasis2 3" xfId="358"/>
    <cellStyle name="40% - Énfasis2 30" xfId="359"/>
    <cellStyle name="40% - Énfasis2 31" xfId="360"/>
    <cellStyle name="40% - Énfasis2 32" xfId="361"/>
    <cellStyle name="40% - Énfasis2 33" xfId="362"/>
    <cellStyle name="40% - Énfasis2 34" xfId="363"/>
    <cellStyle name="40% - Énfasis2 35" xfId="364"/>
    <cellStyle name="40% - Énfasis2 36" xfId="365"/>
    <cellStyle name="40% - Énfasis2 37" xfId="366"/>
    <cellStyle name="40% - Énfasis2 38" xfId="367"/>
    <cellStyle name="40% - Énfasis2 39" xfId="368"/>
    <cellStyle name="40% - Énfasis2 4" xfId="369"/>
    <cellStyle name="40% - Énfasis2 40" xfId="370"/>
    <cellStyle name="40% - Énfasis2 41" xfId="371"/>
    <cellStyle name="40% - Énfasis2 42" xfId="372"/>
    <cellStyle name="40% - Énfasis2 43" xfId="373"/>
    <cellStyle name="40% - Énfasis2 44" xfId="374"/>
    <cellStyle name="40% - Énfasis2 45" xfId="375"/>
    <cellStyle name="40% - Énfasis2 46" xfId="376"/>
    <cellStyle name="40% - Énfasis2 46 2" xfId="1980"/>
    <cellStyle name="40% - Énfasis2 46 2 2" xfId="2091"/>
    <cellStyle name="40% - Énfasis2 46 2 3" xfId="2187"/>
    <cellStyle name="40% - Énfasis2 46 3" xfId="2018"/>
    <cellStyle name="40% - Énfasis2 46 3 2" xfId="2122"/>
    <cellStyle name="40% - Énfasis2 46 3 3" xfId="2218"/>
    <cellStyle name="40% - Énfasis2 46 4" xfId="2060"/>
    <cellStyle name="40% - Énfasis2 46 5" xfId="2156"/>
    <cellStyle name="40% - Énfasis2 47" xfId="336"/>
    <cellStyle name="40% - Énfasis2 5" xfId="377"/>
    <cellStyle name="40% - Énfasis2 6" xfId="378"/>
    <cellStyle name="40% - Énfasis2 7" xfId="379"/>
    <cellStyle name="40% - Énfasis2 8" xfId="380"/>
    <cellStyle name="40% - Énfasis2 9" xfId="381"/>
    <cellStyle name="40% - Énfasis3 10" xfId="383"/>
    <cellStyle name="40% - Énfasis3 11" xfId="384"/>
    <cellStyle name="40% - Énfasis3 12" xfId="385"/>
    <cellStyle name="40% - Énfasis3 13" xfId="386"/>
    <cellStyle name="40% - Énfasis3 14" xfId="387"/>
    <cellStyle name="40% - Énfasis3 15" xfId="388"/>
    <cellStyle name="40% - Énfasis3 16" xfId="389"/>
    <cellStyle name="40% - Énfasis3 17" xfId="390"/>
    <cellStyle name="40% - Énfasis3 18" xfId="391"/>
    <cellStyle name="40% - Énfasis3 19" xfId="392"/>
    <cellStyle name="40% - Énfasis3 2" xfId="393"/>
    <cellStyle name="40% - Énfasis3 20" xfId="394"/>
    <cellStyle name="40% - Énfasis3 21" xfId="395"/>
    <cellStyle name="40% - Énfasis3 22" xfId="396"/>
    <cellStyle name="40% - Énfasis3 23" xfId="397"/>
    <cellStyle name="40% - Énfasis3 24" xfId="398"/>
    <cellStyle name="40% - Énfasis3 25" xfId="399"/>
    <cellStyle name="40% - Énfasis3 26" xfId="400"/>
    <cellStyle name="40% - Énfasis3 27" xfId="401"/>
    <cellStyle name="40% - Énfasis3 28" xfId="402"/>
    <cellStyle name="40% - Énfasis3 29" xfId="403"/>
    <cellStyle name="40% - Énfasis3 3" xfId="404"/>
    <cellStyle name="40% - Énfasis3 30" xfId="405"/>
    <cellStyle name="40% - Énfasis3 31" xfId="406"/>
    <cellStyle name="40% - Énfasis3 32" xfId="407"/>
    <cellStyle name="40% - Énfasis3 33" xfId="408"/>
    <cellStyle name="40% - Énfasis3 34" xfId="409"/>
    <cellStyle name="40% - Énfasis3 35" xfId="410"/>
    <cellStyle name="40% - Énfasis3 36" xfId="411"/>
    <cellStyle name="40% - Énfasis3 37" xfId="412"/>
    <cellStyle name="40% - Énfasis3 38" xfId="413"/>
    <cellStyle name="40% - Énfasis3 39" xfId="414"/>
    <cellStyle name="40% - Énfasis3 4" xfId="415"/>
    <cellStyle name="40% - Énfasis3 40" xfId="416"/>
    <cellStyle name="40% - Énfasis3 41" xfId="417"/>
    <cellStyle name="40% - Énfasis3 42" xfId="418"/>
    <cellStyle name="40% - Énfasis3 43" xfId="419"/>
    <cellStyle name="40% - Énfasis3 44" xfId="420"/>
    <cellStyle name="40% - Énfasis3 45" xfId="421"/>
    <cellStyle name="40% - Énfasis3 46" xfId="422"/>
    <cellStyle name="40% - Énfasis3 46 2" xfId="1981"/>
    <cellStyle name="40% - Énfasis3 46 2 2" xfId="2092"/>
    <cellStyle name="40% - Énfasis3 46 2 3" xfId="2188"/>
    <cellStyle name="40% - Énfasis3 46 3" xfId="2019"/>
    <cellStyle name="40% - Énfasis3 46 3 2" xfId="2123"/>
    <cellStyle name="40% - Énfasis3 46 3 3" xfId="2219"/>
    <cellStyle name="40% - Énfasis3 46 4" xfId="2061"/>
    <cellStyle name="40% - Énfasis3 46 5" xfId="2157"/>
    <cellStyle name="40% - Énfasis3 47" xfId="382"/>
    <cellStyle name="40% - Énfasis3 5" xfId="423"/>
    <cellStyle name="40% - Énfasis3 6" xfId="424"/>
    <cellStyle name="40% - Énfasis3 7" xfId="425"/>
    <cellStyle name="40% - Énfasis3 8" xfId="426"/>
    <cellStyle name="40% - Énfasis3 9" xfId="427"/>
    <cellStyle name="40% - Énfasis4 10" xfId="429"/>
    <cellStyle name="40% - Énfasis4 11" xfId="430"/>
    <cellStyle name="40% - Énfasis4 12" xfId="431"/>
    <cellStyle name="40% - Énfasis4 13" xfId="432"/>
    <cellStyle name="40% - Énfasis4 14" xfId="433"/>
    <cellStyle name="40% - Énfasis4 15" xfId="434"/>
    <cellStyle name="40% - Énfasis4 16" xfId="435"/>
    <cellStyle name="40% - Énfasis4 17" xfId="436"/>
    <cellStyle name="40% - Énfasis4 18" xfId="437"/>
    <cellStyle name="40% - Énfasis4 19" xfId="438"/>
    <cellStyle name="40% - Énfasis4 2" xfId="439"/>
    <cellStyle name="40% - Énfasis4 20" xfId="440"/>
    <cellStyle name="40% - Énfasis4 21" xfId="441"/>
    <cellStyle name="40% - Énfasis4 22" xfId="442"/>
    <cellStyle name="40% - Énfasis4 23" xfId="443"/>
    <cellStyle name="40% - Énfasis4 24" xfId="444"/>
    <cellStyle name="40% - Énfasis4 25" xfId="445"/>
    <cellStyle name="40% - Énfasis4 26" xfId="446"/>
    <cellStyle name="40% - Énfasis4 27" xfId="447"/>
    <cellStyle name="40% - Énfasis4 28" xfId="448"/>
    <cellStyle name="40% - Énfasis4 29" xfId="449"/>
    <cellStyle name="40% - Énfasis4 3" xfId="450"/>
    <cellStyle name="40% - Énfasis4 30" xfId="451"/>
    <cellStyle name="40% - Énfasis4 31" xfId="452"/>
    <cellStyle name="40% - Énfasis4 32" xfId="453"/>
    <cellStyle name="40% - Énfasis4 33" xfId="454"/>
    <cellStyle name="40% - Énfasis4 34" xfId="455"/>
    <cellStyle name="40% - Énfasis4 35" xfId="456"/>
    <cellStyle name="40% - Énfasis4 36" xfId="457"/>
    <cellStyle name="40% - Énfasis4 37" xfId="458"/>
    <cellStyle name="40% - Énfasis4 38" xfId="459"/>
    <cellStyle name="40% - Énfasis4 39" xfId="460"/>
    <cellStyle name="40% - Énfasis4 4" xfId="461"/>
    <cellStyle name="40% - Énfasis4 40" xfId="462"/>
    <cellStyle name="40% - Énfasis4 41" xfId="463"/>
    <cellStyle name="40% - Énfasis4 42" xfId="464"/>
    <cellStyle name="40% - Énfasis4 43" xfId="465"/>
    <cellStyle name="40% - Énfasis4 44" xfId="466"/>
    <cellStyle name="40% - Énfasis4 45" xfId="467"/>
    <cellStyle name="40% - Énfasis4 46" xfId="468"/>
    <cellStyle name="40% - Énfasis4 46 2" xfId="1982"/>
    <cellStyle name="40% - Énfasis4 46 2 2" xfId="2093"/>
    <cellStyle name="40% - Énfasis4 46 2 3" xfId="2189"/>
    <cellStyle name="40% - Énfasis4 46 3" xfId="2020"/>
    <cellStyle name="40% - Énfasis4 46 3 2" xfId="2124"/>
    <cellStyle name="40% - Énfasis4 46 3 3" xfId="2220"/>
    <cellStyle name="40% - Énfasis4 46 4" xfId="2062"/>
    <cellStyle name="40% - Énfasis4 46 5" xfId="2158"/>
    <cellStyle name="40% - Énfasis4 47" xfId="428"/>
    <cellStyle name="40% - Énfasis4 5" xfId="469"/>
    <cellStyle name="40% - Énfasis4 6" xfId="470"/>
    <cellStyle name="40% - Énfasis4 7" xfId="471"/>
    <cellStyle name="40% - Énfasis4 8" xfId="472"/>
    <cellStyle name="40% - Énfasis4 9" xfId="473"/>
    <cellStyle name="40% - Énfasis5 10" xfId="475"/>
    <cellStyle name="40% - Énfasis5 11" xfId="476"/>
    <cellStyle name="40% - Énfasis5 12" xfId="477"/>
    <cellStyle name="40% - Énfasis5 13" xfId="478"/>
    <cellStyle name="40% - Énfasis5 14" xfId="479"/>
    <cellStyle name="40% - Énfasis5 15" xfId="480"/>
    <cellStyle name="40% - Énfasis5 16" xfId="481"/>
    <cellStyle name="40% - Énfasis5 17" xfId="482"/>
    <cellStyle name="40% - Énfasis5 18" xfId="483"/>
    <cellStyle name="40% - Énfasis5 19" xfId="484"/>
    <cellStyle name="40% - Énfasis5 2" xfId="485"/>
    <cellStyle name="40% - Énfasis5 20" xfId="486"/>
    <cellStyle name="40% - Énfasis5 21" xfId="487"/>
    <cellStyle name="40% - Énfasis5 22" xfId="488"/>
    <cellStyle name="40% - Énfasis5 23" xfId="489"/>
    <cellStyle name="40% - Énfasis5 24" xfId="490"/>
    <cellStyle name="40% - Énfasis5 25" xfId="491"/>
    <cellStyle name="40% - Énfasis5 26" xfId="492"/>
    <cellStyle name="40% - Énfasis5 27" xfId="493"/>
    <cellStyle name="40% - Énfasis5 28" xfId="494"/>
    <cellStyle name="40% - Énfasis5 29" xfId="495"/>
    <cellStyle name="40% - Énfasis5 3" xfId="496"/>
    <cellStyle name="40% - Énfasis5 30" xfId="497"/>
    <cellStyle name="40% - Énfasis5 31" xfId="498"/>
    <cellStyle name="40% - Énfasis5 32" xfId="499"/>
    <cellStyle name="40% - Énfasis5 33" xfId="500"/>
    <cellStyle name="40% - Énfasis5 34" xfId="501"/>
    <cellStyle name="40% - Énfasis5 35" xfId="502"/>
    <cellStyle name="40% - Énfasis5 36" xfId="503"/>
    <cellStyle name="40% - Énfasis5 37" xfId="504"/>
    <cellStyle name="40% - Énfasis5 38" xfId="505"/>
    <cellStyle name="40% - Énfasis5 39" xfId="506"/>
    <cellStyle name="40% - Énfasis5 4" xfId="507"/>
    <cellStyle name="40% - Énfasis5 40" xfId="508"/>
    <cellStyle name="40% - Énfasis5 41" xfId="509"/>
    <cellStyle name="40% - Énfasis5 42" xfId="510"/>
    <cellStyle name="40% - Énfasis5 43" xfId="511"/>
    <cellStyle name="40% - Énfasis5 44" xfId="512"/>
    <cellStyle name="40% - Énfasis5 45" xfId="513"/>
    <cellStyle name="40% - Énfasis5 46" xfId="514"/>
    <cellStyle name="40% - Énfasis5 46 2" xfId="1983"/>
    <cellStyle name="40% - Énfasis5 46 2 2" xfId="2094"/>
    <cellStyle name="40% - Énfasis5 46 2 3" xfId="2190"/>
    <cellStyle name="40% - Énfasis5 46 3" xfId="2021"/>
    <cellStyle name="40% - Énfasis5 46 3 2" xfId="2125"/>
    <cellStyle name="40% - Énfasis5 46 3 3" xfId="2221"/>
    <cellStyle name="40% - Énfasis5 46 4" xfId="2063"/>
    <cellStyle name="40% - Énfasis5 46 5" xfId="2159"/>
    <cellStyle name="40% - Énfasis5 47" xfId="474"/>
    <cellStyle name="40% - Énfasis5 5" xfId="515"/>
    <cellStyle name="40% - Énfasis5 6" xfId="516"/>
    <cellStyle name="40% - Énfasis5 7" xfId="517"/>
    <cellStyle name="40% - Énfasis5 8" xfId="518"/>
    <cellStyle name="40% - Énfasis5 9" xfId="519"/>
    <cellStyle name="40% - Énfasis6 10" xfId="521"/>
    <cellStyle name="40% - Énfasis6 11" xfId="522"/>
    <cellStyle name="40% - Énfasis6 12" xfId="523"/>
    <cellStyle name="40% - Énfasis6 13" xfId="524"/>
    <cellStyle name="40% - Énfasis6 14" xfId="525"/>
    <cellStyle name="40% - Énfasis6 15" xfId="526"/>
    <cellStyle name="40% - Énfasis6 16" xfId="527"/>
    <cellStyle name="40% - Énfasis6 17" xfId="528"/>
    <cellStyle name="40% - Énfasis6 18" xfId="529"/>
    <cellStyle name="40% - Énfasis6 19" xfId="530"/>
    <cellStyle name="40% - Énfasis6 2" xfId="531"/>
    <cellStyle name="40% - Énfasis6 20" xfId="532"/>
    <cellStyle name="40% - Énfasis6 21" xfId="533"/>
    <cellStyle name="40% - Énfasis6 22" xfId="534"/>
    <cellStyle name="40% - Énfasis6 23" xfId="535"/>
    <cellStyle name="40% - Énfasis6 24" xfId="536"/>
    <cellStyle name="40% - Énfasis6 25" xfId="537"/>
    <cellStyle name="40% - Énfasis6 26" xfId="538"/>
    <cellStyle name="40% - Énfasis6 27" xfId="539"/>
    <cellStyle name="40% - Énfasis6 28" xfId="540"/>
    <cellStyle name="40% - Énfasis6 29" xfId="541"/>
    <cellStyle name="40% - Énfasis6 3" xfId="542"/>
    <cellStyle name="40% - Énfasis6 30" xfId="543"/>
    <cellStyle name="40% - Énfasis6 31" xfId="544"/>
    <cellStyle name="40% - Énfasis6 32" xfId="545"/>
    <cellStyle name="40% - Énfasis6 33" xfId="546"/>
    <cellStyle name="40% - Énfasis6 34" xfId="547"/>
    <cellStyle name="40% - Énfasis6 35" xfId="548"/>
    <cellStyle name="40% - Énfasis6 36" xfId="549"/>
    <cellStyle name="40% - Énfasis6 37" xfId="550"/>
    <cellStyle name="40% - Énfasis6 38" xfId="551"/>
    <cellStyle name="40% - Énfasis6 39" xfId="552"/>
    <cellStyle name="40% - Énfasis6 4" xfId="553"/>
    <cellStyle name="40% - Énfasis6 40" xfId="554"/>
    <cellStyle name="40% - Énfasis6 41" xfId="555"/>
    <cellStyle name="40% - Énfasis6 42" xfId="556"/>
    <cellStyle name="40% - Énfasis6 43" xfId="557"/>
    <cellStyle name="40% - Énfasis6 44" xfId="558"/>
    <cellStyle name="40% - Énfasis6 45" xfId="559"/>
    <cellStyle name="40% - Énfasis6 46" xfId="560"/>
    <cellStyle name="40% - Énfasis6 46 2" xfId="1984"/>
    <cellStyle name="40% - Énfasis6 46 2 2" xfId="2095"/>
    <cellStyle name="40% - Énfasis6 46 2 3" xfId="2191"/>
    <cellStyle name="40% - Énfasis6 46 3" xfId="2022"/>
    <cellStyle name="40% - Énfasis6 46 3 2" xfId="2126"/>
    <cellStyle name="40% - Énfasis6 46 3 3" xfId="2222"/>
    <cellStyle name="40% - Énfasis6 46 4" xfId="2064"/>
    <cellStyle name="40% - Énfasis6 46 5" xfId="2160"/>
    <cellStyle name="40% - Énfasis6 47" xfId="520"/>
    <cellStyle name="40% - Énfasis6 5" xfId="561"/>
    <cellStyle name="40% - Énfasis6 6" xfId="562"/>
    <cellStyle name="40% - Énfasis6 7" xfId="563"/>
    <cellStyle name="40% - Énfasis6 8" xfId="564"/>
    <cellStyle name="40% - Énfasis6 9" xfId="565"/>
    <cellStyle name="60% - Accent4" xfId="11" builtinId="44"/>
    <cellStyle name="60% - Énfasis1 10" xfId="567"/>
    <cellStyle name="60% - Énfasis1 11" xfId="568"/>
    <cellStyle name="60% - Énfasis1 12" xfId="569"/>
    <cellStyle name="60% - Énfasis1 13" xfId="570"/>
    <cellStyle name="60% - Énfasis1 14" xfId="571"/>
    <cellStyle name="60% - Énfasis1 15" xfId="572"/>
    <cellStyle name="60% - Énfasis1 16" xfId="573"/>
    <cellStyle name="60% - Énfasis1 17" xfId="574"/>
    <cellStyle name="60% - Énfasis1 18" xfId="575"/>
    <cellStyle name="60% - Énfasis1 19" xfId="576"/>
    <cellStyle name="60% - Énfasis1 2" xfId="577"/>
    <cellStyle name="60% - Énfasis1 20" xfId="578"/>
    <cellStyle name="60% - Énfasis1 21" xfId="579"/>
    <cellStyle name="60% - Énfasis1 22" xfId="580"/>
    <cellStyle name="60% - Énfasis1 23" xfId="581"/>
    <cellStyle name="60% - Énfasis1 24" xfId="582"/>
    <cellStyle name="60% - Énfasis1 25" xfId="583"/>
    <cellStyle name="60% - Énfasis1 26" xfId="584"/>
    <cellStyle name="60% - Énfasis1 27" xfId="585"/>
    <cellStyle name="60% - Énfasis1 28" xfId="586"/>
    <cellStyle name="60% - Énfasis1 29" xfId="587"/>
    <cellStyle name="60% - Énfasis1 3" xfId="588"/>
    <cellStyle name="60% - Énfasis1 30" xfId="589"/>
    <cellStyle name="60% - Énfasis1 31" xfId="590"/>
    <cellStyle name="60% - Énfasis1 32" xfId="591"/>
    <cellStyle name="60% - Énfasis1 33" xfId="592"/>
    <cellStyle name="60% - Énfasis1 34" xfId="593"/>
    <cellStyle name="60% - Énfasis1 35" xfId="594"/>
    <cellStyle name="60% - Énfasis1 36" xfId="595"/>
    <cellStyle name="60% - Énfasis1 37" xfId="596"/>
    <cellStyle name="60% - Énfasis1 38" xfId="597"/>
    <cellStyle name="60% - Énfasis1 39" xfId="598"/>
    <cellStyle name="60% - Énfasis1 4" xfId="599"/>
    <cellStyle name="60% - Énfasis1 40" xfId="600"/>
    <cellStyle name="60% - Énfasis1 41" xfId="601"/>
    <cellStyle name="60% - Énfasis1 42" xfId="602"/>
    <cellStyle name="60% - Énfasis1 43" xfId="603"/>
    <cellStyle name="60% - Énfasis1 44" xfId="604"/>
    <cellStyle name="60% - Énfasis1 45" xfId="605"/>
    <cellStyle name="60% - Énfasis1 46" xfId="606"/>
    <cellStyle name="60% - Énfasis1 47" xfId="566"/>
    <cellStyle name="60% - Énfasis1 5" xfId="607"/>
    <cellStyle name="60% - Énfasis1 6" xfId="608"/>
    <cellStyle name="60% - Énfasis1 7" xfId="609"/>
    <cellStyle name="60% - Énfasis1 8" xfId="610"/>
    <cellStyle name="60% - Énfasis1 9" xfId="611"/>
    <cellStyle name="60% - Énfasis2 10" xfId="613"/>
    <cellStyle name="60% - Énfasis2 11" xfId="614"/>
    <cellStyle name="60% - Énfasis2 12" xfId="615"/>
    <cellStyle name="60% - Énfasis2 13" xfId="616"/>
    <cellStyle name="60% - Énfasis2 14" xfId="617"/>
    <cellStyle name="60% - Énfasis2 15" xfId="618"/>
    <cellStyle name="60% - Énfasis2 16" xfId="619"/>
    <cellStyle name="60% - Énfasis2 17" xfId="620"/>
    <cellStyle name="60% - Énfasis2 18" xfId="621"/>
    <cellStyle name="60% - Énfasis2 19" xfId="622"/>
    <cellStyle name="60% - Énfasis2 2" xfId="623"/>
    <cellStyle name="60% - Énfasis2 20" xfId="624"/>
    <cellStyle name="60% - Énfasis2 21" xfId="625"/>
    <cellStyle name="60% - Énfasis2 22" xfId="626"/>
    <cellStyle name="60% - Énfasis2 23" xfId="627"/>
    <cellStyle name="60% - Énfasis2 24" xfId="628"/>
    <cellStyle name="60% - Énfasis2 25" xfId="629"/>
    <cellStyle name="60% - Énfasis2 26" xfId="630"/>
    <cellStyle name="60% - Énfasis2 27" xfId="631"/>
    <cellStyle name="60% - Énfasis2 28" xfId="632"/>
    <cellStyle name="60% - Énfasis2 29" xfId="633"/>
    <cellStyle name="60% - Énfasis2 3" xfId="634"/>
    <cellStyle name="60% - Énfasis2 30" xfId="635"/>
    <cellStyle name="60% - Énfasis2 31" xfId="636"/>
    <cellStyle name="60% - Énfasis2 32" xfId="637"/>
    <cellStyle name="60% - Énfasis2 33" xfId="638"/>
    <cellStyle name="60% - Énfasis2 34" xfId="639"/>
    <cellStyle name="60% - Énfasis2 35" xfId="640"/>
    <cellStyle name="60% - Énfasis2 36" xfId="641"/>
    <cellStyle name="60% - Énfasis2 37" xfId="642"/>
    <cellStyle name="60% - Énfasis2 38" xfId="643"/>
    <cellStyle name="60% - Énfasis2 39" xfId="644"/>
    <cellStyle name="60% - Énfasis2 4" xfId="645"/>
    <cellStyle name="60% - Énfasis2 40" xfId="646"/>
    <cellStyle name="60% - Énfasis2 41" xfId="647"/>
    <cellStyle name="60% - Énfasis2 42" xfId="648"/>
    <cellStyle name="60% - Énfasis2 43" xfId="649"/>
    <cellStyle name="60% - Énfasis2 44" xfId="650"/>
    <cellStyle name="60% - Énfasis2 45" xfId="651"/>
    <cellStyle name="60% - Énfasis2 46" xfId="652"/>
    <cellStyle name="60% - Énfasis2 47" xfId="612"/>
    <cellStyle name="60% - Énfasis2 5" xfId="653"/>
    <cellStyle name="60% - Énfasis2 6" xfId="654"/>
    <cellStyle name="60% - Énfasis2 7" xfId="655"/>
    <cellStyle name="60% - Énfasis2 8" xfId="656"/>
    <cellStyle name="60% - Énfasis2 9" xfId="657"/>
    <cellStyle name="60% - Énfasis3 10" xfId="659"/>
    <cellStyle name="60% - Énfasis3 11" xfId="660"/>
    <cellStyle name="60% - Énfasis3 12" xfId="661"/>
    <cellStyle name="60% - Énfasis3 13" xfId="662"/>
    <cellStyle name="60% - Énfasis3 14" xfId="663"/>
    <cellStyle name="60% - Énfasis3 15" xfId="664"/>
    <cellStyle name="60% - Énfasis3 16" xfId="665"/>
    <cellStyle name="60% - Énfasis3 17" xfId="666"/>
    <cellStyle name="60% - Énfasis3 18" xfId="667"/>
    <cellStyle name="60% - Énfasis3 19" xfId="668"/>
    <cellStyle name="60% - Énfasis3 2" xfId="669"/>
    <cellStyle name="60% - Énfasis3 20" xfId="670"/>
    <cellStyle name="60% - Énfasis3 21" xfId="671"/>
    <cellStyle name="60% - Énfasis3 22" xfId="672"/>
    <cellStyle name="60% - Énfasis3 23" xfId="673"/>
    <cellStyle name="60% - Énfasis3 24" xfId="674"/>
    <cellStyle name="60% - Énfasis3 25" xfId="675"/>
    <cellStyle name="60% - Énfasis3 26" xfId="676"/>
    <cellStyle name="60% - Énfasis3 27" xfId="677"/>
    <cellStyle name="60% - Énfasis3 28" xfId="678"/>
    <cellStyle name="60% - Énfasis3 29" xfId="679"/>
    <cellStyle name="60% - Énfasis3 3" xfId="680"/>
    <cellStyle name="60% - Énfasis3 30" xfId="681"/>
    <cellStyle name="60% - Énfasis3 31" xfId="682"/>
    <cellStyle name="60% - Énfasis3 32" xfId="683"/>
    <cellStyle name="60% - Énfasis3 33" xfId="684"/>
    <cellStyle name="60% - Énfasis3 34" xfId="685"/>
    <cellStyle name="60% - Énfasis3 35" xfId="686"/>
    <cellStyle name="60% - Énfasis3 36" xfId="687"/>
    <cellStyle name="60% - Énfasis3 37" xfId="688"/>
    <cellStyle name="60% - Énfasis3 38" xfId="689"/>
    <cellStyle name="60% - Énfasis3 39" xfId="690"/>
    <cellStyle name="60% - Énfasis3 4" xfId="691"/>
    <cellStyle name="60% - Énfasis3 40" xfId="692"/>
    <cellStyle name="60% - Énfasis3 41" xfId="693"/>
    <cellStyle name="60% - Énfasis3 42" xfId="694"/>
    <cellStyle name="60% - Énfasis3 43" xfId="695"/>
    <cellStyle name="60% - Énfasis3 44" xfId="696"/>
    <cellStyle name="60% - Énfasis3 45" xfId="697"/>
    <cellStyle name="60% - Énfasis3 46" xfId="698"/>
    <cellStyle name="60% - Énfasis3 47" xfId="658"/>
    <cellStyle name="60% - Énfasis3 5" xfId="699"/>
    <cellStyle name="60% - Énfasis3 6" xfId="700"/>
    <cellStyle name="60% - Énfasis3 7" xfId="701"/>
    <cellStyle name="60% - Énfasis3 8" xfId="702"/>
    <cellStyle name="60% - Énfasis3 9" xfId="703"/>
    <cellStyle name="60% - Énfasis4 10" xfId="705"/>
    <cellStyle name="60% - Énfasis4 11" xfId="706"/>
    <cellStyle name="60% - Énfasis4 12" xfId="707"/>
    <cellStyle name="60% - Énfasis4 13" xfId="708"/>
    <cellStyle name="60% - Énfasis4 14" xfId="709"/>
    <cellStyle name="60% - Énfasis4 15" xfId="710"/>
    <cellStyle name="60% - Énfasis4 16" xfId="711"/>
    <cellStyle name="60% - Énfasis4 17" xfId="712"/>
    <cellStyle name="60% - Énfasis4 18" xfId="713"/>
    <cellStyle name="60% - Énfasis4 19" xfId="714"/>
    <cellStyle name="60% - Énfasis4 2" xfId="715"/>
    <cellStyle name="60% - Énfasis4 20" xfId="716"/>
    <cellStyle name="60% - Énfasis4 21" xfId="717"/>
    <cellStyle name="60% - Énfasis4 22" xfId="718"/>
    <cellStyle name="60% - Énfasis4 23" xfId="719"/>
    <cellStyle name="60% - Énfasis4 24" xfId="720"/>
    <cellStyle name="60% - Énfasis4 25" xfId="721"/>
    <cellStyle name="60% - Énfasis4 26" xfId="722"/>
    <cellStyle name="60% - Énfasis4 27" xfId="723"/>
    <cellStyle name="60% - Énfasis4 28" xfId="724"/>
    <cellStyle name="60% - Énfasis4 29" xfId="725"/>
    <cellStyle name="60% - Énfasis4 3" xfId="726"/>
    <cellStyle name="60% - Énfasis4 30" xfId="727"/>
    <cellStyle name="60% - Énfasis4 31" xfId="728"/>
    <cellStyle name="60% - Énfasis4 32" xfId="729"/>
    <cellStyle name="60% - Énfasis4 33" xfId="730"/>
    <cellStyle name="60% - Énfasis4 34" xfId="731"/>
    <cellStyle name="60% - Énfasis4 35" xfId="732"/>
    <cellStyle name="60% - Énfasis4 36" xfId="733"/>
    <cellStyle name="60% - Énfasis4 37" xfId="734"/>
    <cellStyle name="60% - Énfasis4 38" xfId="735"/>
    <cellStyle name="60% - Énfasis4 39" xfId="736"/>
    <cellStyle name="60% - Énfasis4 4" xfId="737"/>
    <cellStyle name="60% - Énfasis4 40" xfId="738"/>
    <cellStyle name="60% - Énfasis4 41" xfId="739"/>
    <cellStyle name="60% - Énfasis4 42" xfId="740"/>
    <cellStyle name="60% - Énfasis4 43" xfId="741"/>
    <cellStyle name="60% - Énfasis4 44" xfId="742"/>
    <cellStyle name="60% - Énfasis4 45" xfId="743"/>
    <cellStyle name="60% - Énfasis4 46" xfId="744"/>
    <cellStyle name="60% - Énfasis4 47" xfId="704"/>
    <cellStyle name="60% - Énfasis4 5" xfId="745"/>
    <cellStyle name="60% - Énfasis4 6" xfId="746"/>
    <cellStyle name="60% - Énfasis4 7" xfId="747"/>
    <cellStyle name="60% - Énfasis4 8" xfId="748"/>
    <cellStyle name="60% - Énfasis4 9" xfId="749"/>
    <cellStyle name="60% - Énfasis5 10" xfId="751"/>
    <cellStyle name="60% - Énfasis5 11" xfId="752"/>
    <cellStyle name="60% - Énfasis5 12" xfId="753"/>
    <cellStyle name="60% - Énfasis5 13" xfId="754"/>
    <cellStyle name="60% - Énfasis5 14" xfId="755"/>
    <cellStyle name="60% - Énfasis5 15" xfId="756"/>
    <cellStyle name="60% - Énfasis5 16" xfId="757"/>
    <cellStyle name="60% - Énfasis5 17" xfId="758"/>
    <cellStyle name="60% - Énfasis5 18" xfId="759"/>
    <cellStyle name="60% - Énfasis5 19" xfId="760"/>
    <cellStyle name="60% - Énfasis5 2" xfId="761"/>
    <cellStyle name="60% - Énfasis5 20" xfId="762"/>
    <cellStyle name="60% - Énfasis5 21" xfId="763"/>
    <cellStyle name="60% - Énfasis5 22" xfId="764"/>
    <cellStyle name="60% - Énfasis5 23" xfId="765"/>
    <cellStyle name="60% - Énfasis5 24" xfId="766"/>
    <cellStyle name="60% - Énfasis5 25" xfId="767"/>
    <cellStyle name="60% - Énfasis5 26" xfId="768"/>
    <cellStyle name="60% - Énfasis5 27" xfId="769"/>
    <cellStyle name="60% - Énfasis5 28" xfId="770"/>
    <cellStyle name="60% - Énfasis5 29" xfId="771"/>
    <cellStyle name="60% - Énfasis5 3" xfId="772"/>
    <cellStyle name="60% - Énfasis5 30" xfId="773"/>
    <cellStyle name="60% - Énfasis5 31" xfId="774"/>
    <cellStyle name="60% - Énfasis5 32" xfId="775"/>
    <cellStyle name="60% - Énfasis5 33" xfId="776"/>
    <cellStyle name="60% - Énfasis5 34" xfId="777"/>
    <cellStyle name="60% - Énfasis5 35" xfId="778"/>
    <cellStyle name="60% - Énfasis5 36" xfId="779"/>
    <cellStyle name="60% - Énfasis5 37" xfId="780"/>
    <cellStyle name="60% - Énfasis5 38" xfId="781"/>
    <cellStyle name="60% - Énfasis5 39" xfId="782"/>
    <cellStyle name="60% - Énfasis5 4" xfId="783"/>
    <cellStyle name="60% - Énfasis5 40" xfId="784"/>
    <cellStyle name="60% - Énfasis5 41" xfId="785"/>
    <cellStyle name="60% - Énfasis5 42" xfId="786"/>
    <cellStyle name="60% - Énfasis5 43" xfId="787"/>
    <cellStyle name="60% - Énfasis5 44" xfId="788"/>
    <cellStyle name="60% - Énfasis5 45" xfId="789"/>
    <cellStyle name="60% - Énfasis5 46" xfId="790"/>
    <cellStyle name="60% - Énfasis5 47" xfId="750"/>
    <cellStyle name="60% - Énfasis5 5" xfId="791"/>
    <cellStyle name="60% - Énfasis5 6" xfId="792"/>
    <cellStyle name="60% - Énfasis5 7" xfId="793"/>
    <cellStyle name="60% - Énfasis5 8" xfId="794"/>
    <cellStyle name="60% - Énfasis5 9" xfId="795"/>
    <cellStyle name="60% - Énfasis6 10" xfId="797"/>
    <cellStyle name="60% - Énfasis6 11" xfId="798"/>
    <cellStyle name="60% - Énfasis6 12" xfId="799"/>
    <cellStyle name="60% - Énfasis6 13" xfId="800"/>
    <cellStyle name="60% - Énfasis6 14" xfId="801"/>
    <cellStyle name="60% - Énfasis6 15" xfId="802"/>
    <cellStyle name="60% - Énfasis6 16" xfId="803"/>
    <cellStyle name="60% - Énfasis6 17" xfId="804"/>
    <cellStyle name="60% - Énfasis6 18" xfId="805"/>
    <cellStyle name="60% - Énfasis6 19" xfId="806"/>
    <cellStyle name="60% - Énfasis6 2" xfId="807"/>
    <cellStyle name="60% - Énfasis6 20" xfId="808"/>
    <cellStyle name="60% - Énfasis6 21" xfId="809"/>
    <cellStyle name="60% - Énfasis6 22" xfId="810"/>
    <cellStyle name="60% - Énfasis6 23" xfId="811"/>
    <cellStyle name="60% - Énfasis6 24" xfId="812"/>
    <cellStyle name="60% - Énfasis6 25" xfId="813"/>
    <cellStyle name="60% - Énfasis6 26" xfId="814"/>
    <cellStyle name="60% - Énfasis6 27" xfId="815"/>
    <cellStyle name="60% - Énfasis6 28" xfId="816"/>
    <cellStyle name="60% - Énfasis6 29" xfId="817"/>
    <cellStyle name="60% - Énfasis6 3" xfId="818"/>
    <cellStyle name="60% - Énfasis6 30" xfId="819"/>
    <cellStyle name="60% - Énfasis6 31" xfId="820"/>
    <cellStyle name="60% - Énfasis6 32" xfId="821"/>
    <cellStyle name="60% - Énfasis6 33" xfId="822"/>
    <cellStyle name="60% - Énfasis6 34" xfId="823"/>
    <cellStyle name="60% - Énfasis6 35" xfId="824"/>
    <cellStyle name="60% - Énfasis6 36" xfId="825"/>
    <cellStyle name="60% - Énfasis6 37" xfId="826"/>
    <cellStyle name="60% - Énfasis6 38" xfId="827"/>
    <cellStyle name="60% - Énfasis6 39" xfId="828"/>
    <cellStyle name="60% - Énfasis6 4" xfId="829"/>
    <cellStyle name="60% - Énfasis6 40" xfId="830"/>
    <cellStyle name="60% - Énfasis6 41" xfId="831"/>
    <cellStyle name="60% - Énfasis6 42" xfId="832"/>
    <cellStyle name="60% - Énfasis6 43" xfId="833"/>
    <cellStyle name="60% - Énfasis6 44" xfId="834"/>
    <cellStyle name="60% - Énfasis6 45" xfId="835"/>
    <cellStyle name="60% - Énfasis6 46" xfId="836"/>
    <cellStyle name="60% - Énfasis6 47" xfId="796"/>
    <cellStyle name="60% - Énfasis6 5" xfId="837"/>
    <cellStyle name="60% - Énfasis6 6" xfId="838"/>
    <cellStyle name="60% - Énfasis6 7" xfId="839"/>
    <cellStyle name="60% - Énfasis6 8" xfId="840"/>
    <cellStyle name="60% - Énfasis6 9" xfId="841"/>
    <cellStyle name="Accent1" xfId="2280" builtinId="29"/>
    <cellStyle name="ANCLAS,REZONES Y SUS PARTES,DE FUNDICION,DE HIERRO O DE ACERO" xfId="2"/>
    <cellStyle name="ANCLAS,REZONES Y SUS PARTES,DE FUNDICION,DE HIERRO O DE ACERO 2" xfId="5"/>
    <cellStyle name="ANCLAS,REZONES Y SUS PARTES,DE FUNDICION,DE HIERRO O DE ACERO 2 2" xfId="2049"/>
    <cellStyle name="ANCLAS,REZONES Y SUS PARTES,DE FUNDICION,DE HIERRO O DE ACERO 2 2 2" xfId="4"/>
    <cellStyle name="ANCLAS,REZONES Y SUS PARTES,DE FUNDICION,DE HIERRO O DE ACERO 3" xfId="2023"/>
    <cellStyle name="ANCLAS,REZONES Y SUS PARTES,DE FUNDICION,DE HIERRO O DE ACERO 4" xfId="2253"/>
    <cellStyle name="ANCLAS,REZONES Y SUS PARTES,DE FUNDICION,DE HIERRO O DE ACERO 5" xfId="842"/>
    <cellStyle name="ANCLAS,REZONES Y SUS PARTES,DE FUNDICION,DE HIERRO O DE ACERO_01Cuadros Inf  Económico Sector  Externo ENERO-2009" xfId="843"/>
    <cellStyle name="ANCLAS,REZONES Y SUS PARTES,DE FUNDICION,DE HIERRO O DE ACERO_Cuentas cuadros de coyuntura(dic-07)_Anexo Estadístico NOVIEMBRE 2008 IMAEP 5" xfId="2276"/>
    <cellStyle name="Bad" xfId="6" builtinId="27"/>
    <cellStyle name="Buena 10" xfId="845"/>
    <cellStyle name="Buena 11" xfId="846"/>
    <cellStyle name="Buena 12" xfId="847"/>
    <cellStyle name="Buena 13" xfId="848"/>
    <cellStyle name="Buena 14" xfId="849"/>
    <cellStyle name="Buena 15" xfId="850"/>
    <cellStyle name="Buena 16" xfId="851"/>
    <cellStyle name="Buena 17" xfId="852"/>
    <cellStyle name="Buena 18" xfId="853"/>
    <cellStyle name="Buena 19" xfId="854"/>
    <cellStyle name="Buena 2" xfId="855"/>
    <cellStyle name="Buena 20" xfId="856"/>
    <cellStyle name="Buena 21" xfId="857"/>
    <cellStyle name="Buena 22" xfId="858"/>
    <cellStyle name="Buena 23" xfId="859"/>
    <cellStyle name="Buena 24" xfId="860"/>
    <cellStyle name="Buena 25" xfId="861"/>
    <cellStyle name="Buena 26" xfId="862"/>
    <cellStyle name="Buena 27" xfId="863"/>
    <cellStyle name="Buena 28" xfId="864"/>
    <cellStyle name="Buena 29" xfId="865"/>
    <cellStyle name="Buena 3" xfId="866"/>
    <cellStyle name="Buena 30" xfId="867"/>
    <cellStyle name="Buena 31" xfId="868"/>
    <cellStyle name="Buena 32" xfId="869"/>
    <cellStyle name="Buena 33" xfId="870"/>
    <cellStyle name="Buena 34" xfId="871"/>
    <cellStyle name="Buena 35" xfId="872"/>
    <cellStyle name="Buena 36" xfId="873"/>
    <cellStyle name="Buena 37" xfId="874"/>
    <cellStyle name="Buena 38" xfId="875"/>
    <cellStyle name="Buena 39" xfId="876"/>
    <cellStyle name="Buena 4" xfId="877"/>
    <cellStyle name="Buena 40" xfId="878"/>
    <cellStyle name="Buena 41" xfId="879"/>
    <cellStyle name="Buena 42" xfId="880"/>
    <cellStyle name="Buena 43" xfId="881"/>
    <cellStyle name="Buena 44" xfId="882"/>
    <cellStyle name="Buena 45" xfId="883"/>
    <cellStyle name="Buena 46" xfId="884"/>
    <cellStyle name="Buena 47" xfId="844"/>
    <cellStyle name="Buena 5" xfId="885"/>
    <cellStyle name="Buena 6" xfId="886"/>
    <cellStyle name="Buena 7" xfId="887"/>
    <cellStyle name="Buena 8" xfId="888"/>
    <cellStyle name="Buena 9" xfId="889"/>
    <cellStyle name="Cálculo 10" xfId="891"/>
    <cellStyle name="Cálculo 11" xfId="892"/>
    <cellStyle name="Cálculo 12" xfId="893"/>
    <cellStyle name="Cálculo 13" xfId="894"/>
    <cellStyle name="Cálculo 14" xfId="895"/>
    <cellStyle name="Cálculo 15" xfId="896"/>
    <cellStyle name="Cálculo 16" xfId="897"/>
    <cellStyle name="Cálculo 17" xfId="898"/>
    <cellStyle name="Cálculo 18" xfId="899"/>
    <cellStyle name="Cálculo 19" xfId="900"/>
    <cellStyle name="Cálculo 2" xfId="901"/>
    <cellStyle name="Cálculo 20" xfId="902"/>
    <cellStyle name="Cálculo 21" xfId="903"/>
    <cellStyle name="Cálculo 22" xfId="904"/>
    <cellStyle name="Cálculo 23" xfId="905"/>
    <cellStyle name="Cálculo 24" xfId="906"/>
    <cellStyle name="Cálculo 25" xfId="907"/>
    <cellStyle name="Cálculo 26" xfId="908"/>
    <cellStyle name="Cálculo 27" xfId="909"/>
    <cellStyle name="Cálculo 28" xfId="910"/>
    <cellStyle name="Cálculo 29" xfId="911"/>
    <cellStyle name="Cálculo 3" xfId="912"/>
    <cellStyle name="Cálculo 30" xfId="913"/>
    <cellStyle name="Cálculo 31" xfId="914"/>
    <cellStyle name="Cálculo 32" xfId="915"/>
    <cellStyle name="Cálculo 33" xfId="916"/>
    <cellStyle name="Cálculo 34" xfId="917"/>
    <cellStyle name="Cálculo 35" xfId="918"/>
    <cellStyle name="Cálculo 36" xfId="919"/>
    <cellStyle name="Cálculo 37" xfId="920"/>
    <cellStyle name="Cálculo 38" xfId="921"/>
    <cellStyle name="Cálculo 39" xfId="922"/>
    <cellStyle name="Cálculo 4" xfId="923"/>
    <cellStyle name="Cálculo 40" xfId="924"/>
    <cellStyle name="Cálculo 41" xfId="925"/>
    <cellStyle name="Cálculo 42" xfId="926"/>
    <cellStyle name="Cálculo 43" xfId="927"/>
    <cellStyle name="Cálculo 44" xfId="928"/>
    <cellStyle name="Cálculo 45" xfId="929"/>
    <cellStyle name="Cálculo 46" xfId="930"/>
    <cellStyle name="Cálculo 47" xfId="890"/>
    <cellStyle name="Cálculo 5" xfId="931"/>
    <cellStyle name="Cálculo 6" xfId="932"/>
    <cellStyle name="Cálculo 7" xfId="933"/>
    <cellStyle name="Cálculo 8" xfId="934"/>
    <cellStyle name="Cálculo 9" xfId="935"/>
    <cellStyle name="Celda de comprobación 10" xfId="937"/>
    <cellStyle name="Celda de comprobación 11" xfId="938"/>
    <cellStyle name="Celda de comprobación 12" xfId="939"/>
    <cellStyle name="Celda de comprobación 13" xfId="940"/>
    <cellStyle name="Celda de comprobación 14" xfId="941"/>
    <cellStyle name="Celda de comprobación 15" xfId="942"/>
    <cellStyle name="Celda de comprobación 16" xfId="943"/>
    <cellStyle name="Celda de comprobación 17" xfId="944"/>
    <cellStyle name="Celda de comprobación 18" xfId="945"/>
    <cellStyle name="Celda de comprobación 19" xfId="946"/>
    <cellStyle name="Celda de comprobación 2" xfId="947"/>
    <cellStyle name="Celda de comprobación 20" xfId="948"/>
    <cellStyle name="Celda de comprobación 21" xfId="949"/>
    <cellStyle name="Celda de comprobación 22" xfId="950"/>
    <cellStyle name="Celda de comprobación 23" xfId="951"/>
    <cellStyle name="Celda de comprobación 24" xfId="952"/>
    <cellStyle name="Celda de comprobación 25" xfId="953"/>
    <cellStyle name="Celda de comprobación 26" xfId="954"/>
    <cellStyle name="Celda de comprobación 27" xfId="955"/>
    <cellStyle name="Celda de comprobación 28" xfId="956"/>
    <cellStyle name="Celda de comprobación 29" xfId="957"/>
    <cellStyle name="Celda de comprobación 3" xfId="958"/>
    <cellStyle name="Celda de comprobación 30" xfId="959"/>
    <cellStyle name="Celda de comprobación 31" xfId="960"/>
    <cellStyle name="Celda de comprobación 32" xfId="961"/>
    <cellStyle name="Celda de comprobación 33" xfId="962"/>
    <cellStyle name="Celda de comprobación 34" xfId="963"/>
    <cellStyle name="Celda de comprobación 35" xfId="964"/>
    <cellStyle name="Celda de comprobación 36" xfId="965"/>
    <cellStyle name="Celda de comprobación 37" xfId="966"/>
    <cellStyle name="Celda de comprobación 38" xfId="967"/>
    <cellStyle name="Celda de comprobación 39" xfId="968"/>
    <cellStyle name="Celda de comprobación 4" xfId="969"/>
    <cellStyle name="Celda de comprobación 40" xfId="970"/>
    <cellStyle name="Celda de comprobación 41" xfId="971"/>
    <cellStyle name="Celda de comprobación 42" xfId="972"/>
    <cellStyle name="Celda de comprobación 43" xfId="973"/>
    <cellStyle name="Celda de comprobación 44" xfId="974"/>
    <cellStyle name="Celda de comprobación 45" xfId="975"/>
    <cellStyle name="Celda de comprobación 46" xfId="976"/>
    <cellStyle name="Celda de comprobación 47" xfId="936"/>
    <cellStyle name="Celda de comprobación 5" xfId="977"/>
    <cellStyle name="Celda de comprobación 6" xfId="978"/>
    <cellStyle name="Celda de comprobación 7" xfId="979"/>
    <cellStyle name="Celda de comprobación 8" xfId="980"/>
    <cellStyle name="Celda de comprobación 9" xfId="981"/>
    <cellStyle name="Celda vinculada 10" xfId="983"/>
    <cellStyle name="Celda vinculada 11" xfId="984"/>
    <cellStyle name="Celda vinculada 12" xfId="985"/>
    <cellStyle name="Celda vinculada 13" xfId="986"/>
    <cellStyle name="Celda vinculada 14" xfId="987"/>
    <cellStyle name="Celda vinculada 15" xfId="988"/>
    <cellStyle name="Celda vinculada 16" xfId="989"/>
    <cellStyle name="Celda vinculada 17" xfId="990"/>
    <cellStyle name="Celda vinculada 18" xfId="991"/>
    <cellStyle name="Celda vinculada 19" xfId="992"/>
    <cellStyle name="Celda vinculada 2" xfId="993"/>
    <cellStyle name="Celda vinculada 20" xfId="994"/>
    <cellStyle name="Celda vinculada 21" xfId="995"/>
    <cellStyle name="Celda vinculada 22" xfId="996"/>
    <cellStyle name="Celda vinculada 23" xfId="997"/>
    <cellStyle name="Celda vinculada 24" xfId="998"/>
    <cellStyle name="Celda vinculada 25" xfId="999"/>
    <cellStyle name="Celda vinculada 26" xfId="1000"/>
    <cellStyle name="Celda vinculada 27" xfId="1001"/>
    <cellStyle name="Celda vinculada 28" xfId="1002"/>
    <cellStyle name="Celda vinculada 29" xfId="1003"/>
    <cellStyle name="Celda vinculada 3" xfId="1004"/>
    <cellStyle name="Celda vinculada 30" xfId="1005"/>
    <cellStyle name="Celda vinculada 31" xfId="1006"/>
    <cellStyle name="Celda vinculada 32" xfId="1007"/>
    <cellStyle name="Celda vinculada 33" xfId="1008"/>
    <cellStyle name="Celda vinculada 34" xfId="1009"/>
    <cellStyle name="Celda vinculada 35" xfId="1010"/>
    <cellStyle name="Celda vinculada 36" xfId="1011"/>
    <cellStyle name="Celda vinculada 37" xfId="1012"/>
    <cellStyle name="Celda vinculada 38" xfId="1013"/>
    <cellStyle name="Celda vinculada 39" xfId="1014"/>
    <cellStyle name="Celda vinculada 4" xfId="1015"/>
    <cellStyle name="Celda vinculada 40" xfId="1016"/>
    <cellStyle name="Celda vinculada 41" xfId="1017"/>
    <cellStyle name="Celda vinculada 42" xfId="1018"/>
    <cellStyle name="Celda vinculada 43" xfId="1019"/>
    <cellStyle name="Celda vinculada 44" xfId="1020"/>
    <cellStyle name="Celda vinculada 45" xfId="1021"/>
    <cellStyle name="Celda vinculada 46" xfId="1022"/>
    <cellStyle name="Celda vinculada 47" xfId="982"/>
    <cellStyle name="Celda vinculada 5" xfId="1023"/>
    <cellStyle name="Celda vinculada 6" xfId="1024"/>
    <cellStyle name="Celda vinculada 7" xfId="1025"/>
    <cellStyle name="Celda vinculada 8" xfId="1026"/>
    <cellStyle name="Celda vinculada 9" xfId="1027"/>
    <cellStyle name="Comma" xfId="2279" builtinId="3"/>
    <cellStyle name="Encabezado 4 10" xfId="1029"/>
    <cellStyle name="Encabezado 4 11" xfId="1030"/>
    <cellStyle name="Encabezado 4 12" xfId="1031"/>
    <cellStyle name="Encabezado 4 13" xfId="1032"/>
    <cellStyle name="Encabezado 4 14" xfId="1033"/>
    <cellStyle name="Encabezado 4 15" xfId="1034"/>
    <cellStyle name="Encabezado 4 16" xfId="1035"/>
    <cellStyle name="Encabezado 4 17" xfId="1036"/>
    <cellStyle name="Encabezado 4 18" xfId="1037"/>
    <cellStyle name="Encabezado 4 19" xfId="1038"/>
    <cellStyle name="Encabezado 4 2" xfId="1039"/>
    <cellStyle name="Encabezado 4 20" xfId="1040"/>
    <cellStyle name="Encabezado 4 21" xfId="1041"/>
    <cellStyle name="Encabezado 4 22" xfId="1042"/>
    <cellStyle name="Encabezado 4 23" xfId="1043"/>
    <cellStyle name="Encabezado 4 24" xfId="1044"/>
    <cellStyle name="Encabezado 4 25" xfId="1045"/>
    <cellStyle name="Encabezado 4 26" xfId="1046"/>
    <cellStyle name="Encabezado 4 27" xfId="1047"/>
    <cellStyle name="Encabezado 4 28" xfId="1048"/>
    <cellStyle name="Encabezado 4 29" xfId="1049"/>
    <cellStyle name="Encabezado 4 3" xfId="1050"/>
    <cellStyle name="Encabezado 4 30" xfId="1051"/>
    <cellStyle name="Encabezado 4 31" xfId="1052"/>
    <cellStyle name="Encabezado 4 32" xfId="1053"/>
    <cellStyle name="Encabezado 4 33" xfId="1054"/>
    <cellStyle name="Encabezado 4 34" xfId="1055"/>
    <cellStyle name="Encabezado 4 35" xfId="1056"/>
    <cellStyle name="Encabezado 4 36" xfId="1057"/>
    <cellStyle name="Encabezado 4 37" xfId="1058"/>
    <cellStyle name="Encabezado 4 38" xfId="1059"/>
    <cellStyle name="Encabezado 4 39" xfId="1060"/>
    <cellStyle name="Encabezado 4 4" xfId="1061"/>
    <cellStyle name="Encabezado 4 40" xfId="1062"/>
    <cellStyle name="Encabezado 4 41" xfId="1063"/>
    <cellStyle name="Encabezado 4 42" xfId="1064"/>
    <cellStyle name="Encabezado 4 43" xfId="1065"/>
    <cellStyle name="Encabezado 4 44" xfId="1066"/>
    <cellStyle name="Encabezado 4 45" xfId="1067"/>
    <cellStyle name="Encabezado 4 46" xfId="1068"/>
    <cellStyle name="Encabezado 4 47" xfId="1028"/>
    <cellStyle name="Encabezado 4 5" xfId="1069"/>
    <cellStyle name="Encabezado 4 6" xfId="1070"/>
    <cellStyle name="Encabezado 4 7" xfId="1071"/>
    <cellStyle name="Encabezado 4 8" xfId="1072"/>
    <cellStyle name="Encabezado 4 9" xfId="1073"/>
    <cellStyle name="Énfasis1 10" xfId="1075"/>
    <cellStyle name="Énfasis1 11" xfId="1076"/>
    <cellStyle name="Énfasis1 12" xfId="1077"/>
    <cellStyle name="Énfasis1 13" xfId="1078"/>
    <cellStyle name="Énfasis1 14" xfId="1079"/>
    <cellStyle name="Énfasis1 15" xfId="1080"/>
    <cellStyle name="Énfasis1 16" xfId="1081"/>
    <cellStyle name="Énfasis1 17" xfId="1082"/>
    <cellStyle name="Énfasis1 18" xfId="1083"/>
    <cellStyle name="Énfasis1 19" xfId="1084"/>
    <cellStyle name="Énfasis1 2" xfId="1085"/>
    <cellStyle name="Énfasis1 20" xfId="1086"/>
    <cellStyle name="Énfasis1 21" xfId="1087"/>
    <cellStyle name="Énfasis1 22" xfId="1088"/>
    <cellStyle name="Énfasis1 23" xfId="1089"/>
    <cellStyle name="Énfasis1 24" xfId="1090"/>
    <cellStyle name="Énfasis1 25" xfId="1091"/>
    <cellStyle name="Énfasis1 26" xfId="1092"/>
    <cellStyle name="Énfasis1 27" xfId="1093"/>
    <cellStyle name="Énfasis1 28" xfId="1094"/>
    <cellStyle name="Énfasis1 29" xfId="1095"/>
    <cellStyle name="Énfasis1 3" xfId="1096"/>
    <cellStyle name="Énfasis1 30" xfId="1097"/>
    <cellStyle name="Énfasis1 31" xfId="1098"/>
    <cellStyle name="Énfasis1 32" xfId="1099"/>
    <cellStyle name="Énfasis1 33" xfId="1100"/>
    <cellStyle name="Énfasis1 34" xfId="1101"/>
    <cellStyle name="Énfasis1 35" xfId="1102"/>
    <cellStyle name="Énfasis1 36" xfId="1103"/>
    <cellStyle name="Énfasis1 37" xfId="1104"/>
    <cellStyle name="Énfasis1 38" xfId="1105"/>
    <cellStyle name="Énfasis1 39" xfId="1106"/>
    <cellStyle name="Énfasis1 4" xfId="1107"/>
    <cellStyle name="Énfasis1 40" xfId="1108"/>
    <cellStyle name="Énfasis1 41" xfId="1109"/>
    <cellStyle name="Énfasis1 42" xfId="1110"/>
    <cellStyle name="Énfasis1 43" xfId="1111"/>
    <cellStyle name="Énfasis1 44" xfId="1112"/>
    <cellStyle name="Énfasis1 45" xfId="1113"/>
    <cellStyle name="Énfasis1 46" xfId="1114"/>
    <cellStyle name="Énfasis1 47" xfId="1074"/>
    <cellStyle name="Énfasis1 5" xfId="1115"/>
    <cellStyle name="Énfasis1 6" xfId="1116"/>
    <cellStyle name="Énfasis1 7" xfId="1117"/>
    <cellStyle name="Énfasis1 8" xfId="1118"/>
    <cellStyle name="Énfasis1 9" xfId="1119"/>
    <cellStyle name="Énfasis2 10" xfId="1121"/>
    <cellStyle name="Énfasis2 11" xfId="1122"/>
    <cellStyle name="Énfasis2 12" xfId="1123"/>
    <cellStyle name="Énfasis2 13" xfId="1124"/>
    <cellStyle name="Énfasis2 14" xfId="1125"/>
    <cellStyle name="Énfasis2 15" xfId="1126"/>
    <cellStyle name="Énfasis2 16" xfId="1127"/>
    <cellStyle name="Énfasis2 17" xfId="1128"/>
    <cellStyle name="Énfasis2 18" xfId="1129"/>
    <cellStyle name="Énfasis2 19" xfId="1130"/>
    <cellStyle name="Énfasis2 2" xfId="1131"/>
    <cellStyle name="Énfasis2 20" xfId="1132"/>
    <cellStyle name="Énfasis2 21" xfId="1133"/>
    <cellStyle name="Énfasis2 22" xfId="1134"/>
    <cellStyle name="Énfasis2 23" xfId="1135"/>
    <cellStyle name="Énfasis2 24" xfId="1136"/>
    <cellStyle name="Énfasis2 25" xfId="1137"/>
    <cellStyle name="Énfasis2 26" xfId="1138"/>
    <cellStyle name="Énfasis2 27" xfId="1139"/>
    <cellStyle name="Énfasis2 28" xfId="1140"/>
    <cellStyle name="Énfasis2 29" xfId="1141"/>
    <cellStyle name="Énfasis2 3" xfId="1142"/>
    <cellStyle name="Énfasis2 30" xfId="1143"/>
    <cellStyle name="Énfasis2 31" xfId="1144"/>
    <cellStyle name="Énfasis2 32" xfId="1145"/>
    <cellStyle name="Énfasis2 33" xfId="1146"/>
    <cellStyle name="Énfasis2 34" xfId="1147"/>
    <cellStyle name="Énfasis2 35" xfId="1148"/>
    <cellStyle name="Énfasis2 36" xfId="1149"/>
    <cellStyle name="Énfasis2 37" xfId="1150"/>
    <cellStyle name="Énfasis2 38" xfId="1151"/>
    <cellStyle name="Énfasis2 39" xfId="1152"/>
    <cellStyle name="Énfasis2 4" xfId="1153"/>
    <cellStyle name="Énfasis2 40" xfId="1154"/>
    <cellStyle name="Énfasis2 41" xfId="1155"/>
    <cellStyle name="Énfasis2 42" xfId="1156"/>
    <cellStyle name="Énfasis2 43" xfId="1157"/>
    <cellStyle name="Énfasis2 44" xfId="1158"/>
    <cellStyle name="Énfasis2 45" xfId="1159"/>
    <cellStyle name="Énfasis2 46" xfId="1160"/>
    <cellStyle name="Énfasis2 47" xfId="1120"/>
    <cellStyle name="Énfasis2 5" xfId="1161"/>
    <cellStyle name="Énfasis2 6" xfId="1162"/>
    <cellStyle name="Énfasis2 7" xfId="1163"/>
    <cellStyle name="Énfasis2 8" xfId="1164"/>
    <cellStyle name="Énfasis2 9" xfId="1165"/>
    <cellStyle name="Énfasis3 10" xfId="1167"/>
    <cellStyle name="Énfasis3 11" xfId="1168"/>
    <cellStyle name="Énfasis3 12" xfId="1169"/>
    <cellStyle name="Énfasis3 13" xfId="1170"/>
    <cellStyle name="Énfasis3 14" xfId="1171"/>
    <cellStyle name="Énfasis3 15" xfId="1172"/>
    <cellStyle name="Énfasis3 16" xfId="1173"/>
    <cellStyle name="Énfasis3 17" xfId="1174"/>
    <cellStyle name="Énfasis3 18" xfId="1175"/>
    <cellStyle name="Énfasis3 19" xfId="1176"/>
    <cellStyle name="Énfasis3 2" xfId="1177"/>
    <cellStyle name="Énfasis3 20" xfId="1178"/>
    <cellStyle name="Énfasis3 21" xfId="1179"/>
    <cellStyle name="Énfasis3 22" xfId="1180"/>
    <cellStyle name="Énfasis3 23" xfId="1181"/>
    <cellStyle name="Énfasis3 24" xfId="1182"/>
    <cellStyle name="Énfasis3 25" xfId="1183"/>
    <cellStyle name="Énfasis3 26" xfId="1184"/>
    <cellStyle name="Énfasis3 27" xfId="1185"/>
    <cellStyle name="Énfasis3 28" xfId="1186"/>
    <cellStyle name="Énfasis3 29" xfId="1187"/>
    <cellStyle name="Énfasis3 3" xfId="1188"/>
    <cellStyle name="Énfasis3 30" xfId="1189"/>
    <cellStyle name="Énfasis3 31" xfId="1190"/>
    <cellStyle name="Énfasis3 32" xfId="1191"/>
    <cellStyle name="Énfasis3 33" xfId="1192"/>
    <cellStyle name="Énfasis3 34" xfId="1193"/>
    <cellStyle name="Énfasis3 35" xfId="1194"/>
    <cellStyle name="Énfasis3 36" xfId="1195"/>
    <cellStyle name="Énfasis3 37" xfId="1196"/>
    <cellStyle name="Énfasis3 38" xfId="1197"/>
    <cellStyle name="Énfasis3 39" xfId="1198"/>
    <cellStyle name="Énfasis3 4" xfId="1199"/>
    <cellStyle name="Énfasis3 40" xfId="1200"/>
    <cellStyle name="Énfasis3 41" xfId="1201"/>
    <cellStyle name="Énfasis3 42" xfId="1202"/>
    <cellStyle name="Énfasis3 43" xfId="1203"/>
    <cellStyle name="Énfasis3 44" xfId="1204"/>
    <cellStyle name="Énfasis3 45" xfId="1205"/>
    <cellStyle name="Énfasis3 46" xfId="1206"/>
    <cellStyle name="Énfasis3 47" xfId="1166"/>
    <cellStyle name="Énfasis3 5" xfId="1207"/>
    <cellStyle name="Énfasis3 6" xfId="1208"/>
    <cellStyle name="Énfasis3 7" xfId="1209"/>
    <cellStyle name="Énfasis3 8" xfId="1210"/>
    <cellStyle name="Énfasis3 9" xfId="1211"/>
    <cellStyle name="Énfasis4 10" xfId="1213"/>
    <cellStyle name="Énfasis4 11" xfId="1214"/>
    <cellStyle name="Énfasis4 12" xfId="1215"/>
    <cellStyle name="Énfasis4 13" xfId="1216"/>
    <cellStyle name="Énfasis4 14" xfId="1217"/>
    <cellStyle name="Énfasis4 15" xfId="1218"/>
    <cellStyle name="Énfasis4 16" xfId="1219"/>
    <cellStyle name="Énfasis4 17" xfId="1220"/>
    <cellStyle name="Énfasis4 18" xfId="1221"/>
    <cellStyle name="Énfasis4 19" xfId="1222"/>
    <cellStyle name="Énfasis4 2" xfId="1223"/>
    <cellStyle name="Énfasis4 20" xfId="1224"/>
    <cellStyle name="Énfasis4 21" xfId="1225"/>
    <cellStyle name="Énfasis4 22" xfId="1226"/>
    <cellStyle name="Énfasis4 23" xfId="1227"/>
    <cellStyle name="Énfasis4 24" xfId="1228"/>
    <cellStyle name="Énfasis4 25" xfId="1229"/>
    <cellStyle name="Énfasis4 26" xfId="1230"/>
    <cellStyle name="Énfasis4 27" xfId="1231"/>
    <cellStyle name="Énfasis4 28" xfId="1232"/>
    <cellStyle name="Énfasis4 29" xfId="1233"/>
    <cellStyle name="Énfasis4 3" xfId="1234"/>
    <cellStyle name="Énfasis4 30" xfId="1235"/>
    <cellStyle name="Énfasis4 31" xfId="1236"/>
    <cellStyle name="Énfasis4 32" xfId="1237"/>
    <cellStyle name="Énfasis4 33" xfId="1238"/>
    <cellStyle name="Énfasis4 34" xfId="1239"/>
    <cellStyle name="Énfasis4 35" xfId="1240"/>
    <cellStyle name="Énfasis4 36" xfId="1241"/>
    <cellStyle name="Énfasis4 37" xfId="1242"/>
    <cellStyle name="Énfasis4 38" xfId="1243"/>
    <cellStyle name="Énfasis4 39" xfId="1244"/>
    <cellStyle name="Énfasis4 4" xfId="1245"/>
    <cellStyle name="Énfasis4 40" xfId="1246"/>
    <cellStyle name="Énfasis4 41" xfId="1247"/>
    <cellStyle name="Énfasis4 42" xfId="1248"/>
    <cellStyle name="Énfasis4 43" xfId="1249"/>
    <cellStyle name="Énfasis4 44" xfId="1250"/>
    <cellStyle name="Énfasis4 45" xfId="1251"/>
    <cellStyle name="Énfasis4 46" xfId="1252"/>
    <cellStyle name="Énfasis4 47" xfId="1212"/>
    <cellStyle name="Énfasis4 5" xfId="1253"/>
    <cellStyle name="Énfasis4 6" xfId="1254"/>
    <cellStyle name="Énfasis4 7" xfId="1255"/>
    <cellStyle name="Énfasis4 8" xfId="1256"/>
    <cellStyle name="Énfasis4 9" xfId="1257"/>
    <cellStyle name="Énfasis5 10" xfId="1259"/>
    <cellStyle name="Énfasis5 11" xfId="1260"/>
    <cellStyle name="Énfasis5 12" xfId="1261"/>
    <cellStyle name="Énfasis5 13" xfId="1262"/>
    <cellStyle name="Énfasis5 14" xfId="1263"/>
    <cellStyle name="Énfasis5 15" xfId="1264"/>
    <cellStyle name="Énfasis5 16" xfId="1265"/>
    <cellStyle name="Énfasis5 17" xfId="1266"/>
    <cellStyle name="Énfasis5 18" xfId="1267"/>
    <cellStyle name="Énfasis5 19" xfId="1268"/>
    <cellStyle name="Énfasis5 2" xfId="1269"/>
    <cellStyle name="Énfasis5 20" xfId="1270"/>
    <cellStyle name="Énfasis5 21" xfId="1271"/>
    <cellStyle name="Énfasis5 22" xfId="1272"/>
    <cellStyle name="Énfasis5 23" xfId="1273"/>
    <cellStyle name="Énfasis5 24" xfId="1274"/>
    <cellStyle name="Énfasis5 25" xfId="1275"/>
    <cellStyle name="Énfasis5 26" xfId="1276"/>
    <cellStyle name="Énfasis5 27" xfId="1277"/>
    <cellStyle name="Énfasis5 28" xfId="1278"/>
    <cellStyle name="Énfasis5 29" xfId="1279"/>
    <cellStyle name="Énfasis5 3" xfId="1280"/>
    <cellStyle name="Énfasis5 30" xfId="1281"/>
    <cellStyle name="Énfasis5 31" xfId="1282"/>
    <cellStyle name="Énfasis5 32" xfId="1283"/>
    <cellStyle name="Énfasis5 33" xfId="1284"/>
    <cellStyle name="Énfasis5 34" xfId="1285"/>
    <cellStyle name="Énfasis5 35" xfId="1286"/>
    <cellStyle name="Énfasis5 36" xfId="1287"/>
    <cellStyle name="Énfasis5 37" xfId="1288"/>
    <cellStyle name="Énfasis5 38" xfId="1289"/>
    <cellStyle name="Énfasis5 39" xfId="1290"/>
    <cellStyle name="Énfasis5 4" xfId="1291"/>
    <cellStyle name="Énfasis5 40" xfId="1292"/>
    <cellStyle name="Énfasis5 41" xfId="1293"/>
    <cellStyle name="Énfasis5 42" xfId="1294"/>
    <cellStyle name="Énfasis5 43" xfId="1295"/>
    <cellStyle name="Énfasis5 44" xfId="1296"/>
    <cellStyle name="Énfasis5 45" xfId="1297"/>
    <cellStyle name="Énfasis5 46" xfId="1298"/>
    <cellStyle name="Énfasis5 47" xfId="1258"/>
    <cellStyle name="Énfasis5 5" xfId="1299"/>
    <cellStyle name="Énfasis5 6" xfId="1300"/>
    <cellStyle name="Énfasis5 7" xfId="1301"/>
    <cellStyle name="Énfasis5 8" xfId="1302"/>
    <cellStyle name="Énfasis5 9" xfId="1303"/>
    <cellStyle name="Énfasis6 10" xfId="1305"/>
    <cellStyle name="Énfasis6 11" xfId="1306"/>
    <cellStyle name="Énfasis6 12" xfId="1307"/>
    <cellStyle name="Énfasis6 13" xfId="1308"/>
    <cellStyle name="Énfasis6 14" xfId="1309"/>
    <cellStyle name="Énfasis6 15" xfId="1310"/>
    <cellStyle name="Énfasis6 16" xfId="1311"/>
    <cellStyle name="Énfasis6 17" xfId="1312"/>
    <cellStyle name="Énfasis6 18" xfId="1313"/>
    <cellStyle name="Énfasis6 19" xfId="1314"/>
    <cellStyle name="Énfasis6 2" xfId="1315"/>
    <cellStyle name="Énfasis6 20" xfId="1316"/>
    <cellStyle name="Énfasis6 21" xfId="1317"/>
    <cellStyle name="Énfasis6 22" xfId="1318"/>
    <cellStyle name="Énfasis6 23" xfId="1319"/>
    <cellStyle name="Énfasis6 24" xfId="1320"/>
    <cellStyle name="Énfasis6 25" xfId="1321"/>
    <cellStyle name="Énfasis6 26" xfId="1322"/>
    <cellStyle name="Énfasis6 27" xfId="1323"/>
    <cellStyle name="Énfasis6 28" xfId="1324"/>
    <cellStyle name="Énfasis6 29" xfId="1325"/>
    <cellStyle name="Énfasis6 3" xfId="1326"/>
    <cellStyle name="Énfasis6 30" xfId="1327"/>
    <cellStyle name="Énfasis6 31" xfId="1328"/>
    <cellStyle name="Énfasis6 32" xfId="1329"/>
    <cellStyle name="Énfasis6 33" xfId="1330"/>
    <cellStyle name="Énfasis6 34" xfId="1331"/>
    <cellStyle name="Énfasis6 35" xfId="1332"/>
    <cellStyle name="Énfasis6 36" xfId="1333"/>
    <cellStyle name="Énfasis6 37" xfId="1334"/>
    <cellStyle name="Énfasis6 38" xfId="1335"/>
    <cellStyle name="Énfasis6 39" xfId="1336"/>
    <cellStyle name="Énfasis6 4" xfId="1337"/>
    <cellStyle name="Énfasis6 40" xfId="1338"/>
    <cellStyle name="Énfasis6 41" xfId="1339"/>
    <cellStyle name="Énfasis6 42" xfId="1340"/>
    <cellStyle name="Énfasis6 43" xfId="1341"/>
    <cellStyle name="Énfasis6 44" xfId="1342"/>
    <cellStyle name="Énfasis6 45" xfId="1343"/>
    <cellStyle name="Énfasis6 46" xfId="1344"/>
    <cellStyle name="Énfasis6 47" xfId="1304"/>
    <cellStyle name="Énfasis6 5" xfId="1345"/>
    <cellStyle name="Énfasis6 6" xfId="1346"/>
    <cellStyle name="Énfasis6 7" xfId="1347"/>
    <cellStyle name="Énfasis6 8" xfId="1348"/>
    <cellStyle name="Énfasis6 9" xfId="1349"/>
    <cellStyle name="Entrada 10" xfId="1351"/>
    <cellStyle name="Entrada 11" xfId="1352"/>
    <cellStyle name="Entrada 12" xfId="1353"/>
    <cellStyle name="Entrada 13" xfId="1354"/>
    <cellStyle name="Entrada 14" xfId="1355"/>
    <cellStyle name="Entrada 15" xfId="1356"/>
    <cellStyle name="Entrada 16" xfId="1357"/>
    <cellStyle name="Entrada 17" xfId="1358"/>
    <cellStyle name="Entrada 18" xfId="1359"/>
    <cellStyle name="Entrada 19" xfId="1360"/>
    <cellStyle name="Entrada 2" xfId="1361"/>
    <cellStyle name="Entrada 20" xfId="1362"/>
    <cellStyle name="Entrada 21" xfId="1363"/>
    <cellStyle name="Entrada 22" xfId="1364"/>
    <cellStyle name="Entrada 23" xfId="1365"/>
    <cellStyle name="Entrada 24" xfId="1366"/>
    <cellStyle name="Entrada 25" xfId="1367"/>
    <cellStyle name="Entrada 26" xfId="1368"/>
    <cellStyle name="Entrada 27" xfId="1369"/>
    <cellStyle name="Entrada 28" xfId="1370"/>
    <cellStyle name="Entrada 29" xfId="1371"/>
    <cellStyle name="Entrada 3" xfId="1372"/>
    <cellStyle name="Entrada 30" xfId="1373"/>
    <cellStyle name="Entrada 31" xfId="1374"/>
    <cellStyle name="Entrada 32" xfId="1375"/>
    <cellStyle name="Entrada 33" xfId="1376"/>
    <cellStyle name="Entrada 34" xfId="1377"/>
    <cellStyle name="Entrada 35" xfId="1378"/>
    <cellStyle name="Entrada 36" xfId="1379"/>
    <cellStyle name="Entrada 37" xfId="1380"/>
    <cellStyle name="Entrada 38" xfId="1381"/>
    <cellStyle name="Entrada 39" xfId="1382"/>
    <cellStyle name="Entrada 4" xfId="1383"/>
    <cellStyle name="Entrada 40" xfId="1384"/>
    <cellStyle name="Entrada 41" xfId="1385"/>
    <cellStyle name="Entrada 42" xfId="1386"/>
    <cellStyle name="Entrada 43" xfId="1387"/>
    <cellStyle name="Entrada 44" xfId="1388"/>
    <cellStyle name="Entrada 45" xfId="1389"/>
    <cellStyle name="Entrada 46" xfId="1390"/>
    <cellStyle name="Entrada 47" xfId="1350"/>
    <cellStyle name="Entrada 5" xfId="1391"/>
    <cellStyle name="Entrada 6" xfId="1392"/>
    <cellStyle name="Entrada 7" xfId="1393"/>
    <cellStyle name="Entrada 8" xfId="1394"/>
    <cellStyle name="Entrada 9" xfId="1395"/>
    <cellStyle name="Euro" xfId="1396"/>
    <cellStyle name="Followed Hyperlink" xfId="2283" builtinId="9" hidden="1"/>
    <cellStyle name="Followed Hyperlink" xfId="2284" builtinId="9" hidden="1"/>
    <cellStyle name="Good" xfId="9" builtinId="26"/>
    <cellStyle name="Hipervínculo 2" xfId="12"/>
    <cellStyle name="Hipervínculo 2 2" xfId="2254"/>
    <cellStyle name="Hipervínculo 3" xfId="2267"/>
    <cellStyle name="Hipervínculo 4" xfId="2274"/>
    <cellStyle name="Hyperlink" xfId="3" builtinId="8"/>
    <cellStyle name="Incorrecto 10" xfId="1398"/>
    <cellStyle name="Incorrecto 11" xfId="1399"/>
    <cellStyle name="Incorrecto 12" xfId="1400"/>
    <cellStyle name="Incorrecto 13" xfId="1401"/>
    <cellStyle name="Incorrecto 14" xfId="1402"/>
    <cellStyle name="Incorrecto 15" xfId="1403"/>
    <cellStyle name="Incorrecto 16" xfId="1404"/>
    <cellStyle name="Incorrecto 17" xfId="1405"/>
    <cellStyle name="Incorrecto 18" xfId="1406"/>
    <cellStyle name="Incorrecto 19" xfId="1407"/>
    <cellStyle name="Incorrecto 2" xfId="1408"/>
    <cellStyle name="Incorrecto 20" xfId="1409"/>
    <cellStyle name="Incorrecto 21" xfId="1410"/>
    <cellStyle name="Incorrecto 22" xfId="1411"/>
    <cellStyle name="Incorrecto 23" xfId="1412"/>
    <cellStyle name="Incorrecto 24" xfId="1413"/>
    <cellStyle name="Incorrecto 25" xfId="1414"/>
    <cellStyle name="Incorrecto 26" xfId="1415"/>
    <cellStyle name="Incorrecto 27" xfId="1416"/>
    <cellStyle name="Incorrecto 28" xfId="1417"/>
    <cellStyle name="Incorrecto 29" xfId="1418"/>
    <cellStyle name="Incorrecto 3" xfId="1419"/>
    <cellStyle name="Incorrecto 30" xfId="1420"/>
    <cellStyle name="Incorrecto 31" xfId="1421"/>
    <cellStyle name="Incorrecto 32" xfId="1422"/>
    <cellStyle name="Incorrecto 33" xfId="1423"/>
    <cellStyle name="Incorrecto 34" xfId="1424"/>
    <cellStyle name="Incorrecto 35" xfId="1425"/>
    <cellStyle name="Incorrecto 36" xfId="1426"/>
    <cellStyle name="Incorrecto 37" xfId="1427"/>
    <cellStyle name="Incorrecto 38" xfId="1428"/>
    <cellStyle name="Incorrecto 39" xfId="1429"/>
    <cellStyle name="Incorrecto 4" xfId="1430"/>
    <cellStyle name="Incorrecto 40" xfId="1431"/>
    <cellStyle name="Incorrecto 41" xfId="1432"/>
    <cellStyle name="Incorrecto 42" xfId="1433"/>
    <cellStyle name="Incorrecto 43" xfId="1434"/>
    <cellStyle name="Incorrecto 44" xfId="1435"/>
    <cellStyle name="Incorrecto 45" xfId="1436"/>
    <cellStyle name="Incorrecto 46" xfId="1437"/>
    <cellStyle name="Incorrecto 47" xfId="1397"/>
    <cellStyle name="Incorrecto 5" xfId="1438"/>
    <cellStyle name="Incorrecto 6" xfId="1439"/>
    <cellStyle name="Incorrecto 7" xfId="1440"/>
    <cellStyle name="Incorrecto 8" xfId="1441"/>
    <cellStyle name="Incorrecto 9" xfId="1442"/>
    <cellStyle name="Millares [0] 2" xfId="2025"/>
    <cellStyle name="Millares [0] 2 4" xfId="2264"/>
    <cellStyle name="Millares [0]_base monetario temporal" xfId="2285"/>
    <cellStyle name="Millares 10" xfId="2269"/>
    <cellStyle name="Millares 11" xfId="2273"/>
    <cellStyle name="Millares 12" xfId="2275"/>
    <cellStyle name="Millares 2" xfId="1444"/>
    <cellStyle name="Millares 2 2" xfId="1985"/>
    <cellStyle name="Millares 2 3" xfId="2026"/>
    <cellStyle name="Millares 3" xfId="2024"/>
    <cellStyle name="Millares 4" xfId="2148"/>
    <cellStyle name="Millares 5" xfId="2260"/>
    <cellStyle name="Millares 6" xfId="1443"/>
    <cellStyle name="Millares 7" xfId="2270"/>
    <cellStyle name="Millares 8" xfId="2268"/>
    <cellStyle name="Millares 9" xfId="2271"/>
    <cellStyle name="Millares_CUENTA 1 5" xfId="2278"/>
    <cellStyle name="Moneda 2" xfId="2242"/>
    <cellStyle name="Moneda 3" xfId="2050"/>
    <cellStyle name="Neutral" xfId="10" builtinId="28"/>
    <cellStyle name="Neutral 10" xfId="1446"/>
    <cellStyle name="Neutral 11" xfId="1447"/>
    <cellStyle name="Neutral 12" xfId="1448"/>
    <cellStyle name="Neutral 13" xfId="1449"/>
    <cellStyle name="Neutral 14" xfId="1450"/>
    <cellStyle name="Neutral 15" xfId="1451"/>
    <cellStyle name="Neutral 16" xfId="1452"/>
    <cellStyle name="Neutral 17" xfId="1453"/>
    <cellStyle name="Neutral 18" xfId="1454"/>
    <cellStyle name="Neutral 19" xfId="1455"/>
    <cellStyle name="Neutral 2" xfId="1456"/>
    <cellStyle name="Neutral 20" xfId="1457"/>
    <cellStyle name="Neutral 21" xfId="1458"/>
    <cellStyle name="Neutral 22" xfId="1459"/>
    <cellStyle name="Neutral 23" xfId="1460"/>
    <cellStyle name="Neutral 24" xfId="1461"/>
    <cellStyle name="Neutral 25" xfId="1462"/>
    <cellStyle name="Neutral 26" xfId="1463"/>
    <cellStyle name="Neutral 27" xfId="1464"/>
    <cellStyle name="Neutral 28" xfId="1465"/>
    <cellStyle name="Neutral 29" xfId="1466"/>
    <cellStyle name="Neutral 3" xfId="1467"/>
    <cellStyle name="Neutral 30" xfId="1468"/>
    <cellStyle name="Neutral 31" xfId="1469"/>
    <cellStyle name="Neutral 32" xfId="1470"/>
    <cellStyle name="Neutral 33" xfId="1471"/>
    <cellStyle name="Neutral 34" xfId="1472"/>
    <cellStyle name="Neutral 35" xfId="1473"/>
    <cellStyle name="Neutral 36" xfId="1474"/>
    <cellStyle name="Neutral 37" xfId="1475"/>
    <cellStyle name="Neutral 38" xfId="1476"/>
    <cellStyle name="Neutral 39" xfId="1477"/>
    <cellStyle name="Neutral 4" xfId="1478"/>
    <cellStyle name="Neutral 40" xfId="1479"/>
    <cellStyle name="Neutral 41" xfId="1480"/>
    <cellStyle name="Neutral 42" xfId="1481"/>
    <cellStyle name="Neutral 43" xfId="1482"/>
    <cellStyle name="Neutral 44" xfId="1483"/>
    <cellStyle name="Neutral 45" xfId="1484"/>
    <cellStyle name="Neutral 46" xfId="1485"/>
    <cellStyle name="Neutral 47" xfId="1445"/>
    <cellStyle name="Neutral 5" xfId="1486"/>
    <cellStyle name="Neutral 6" xfId="1487"/>
    <cellStyle name="Neutral 7" xfId="1488"/>
    <cellStyle name="Neutral 8" xfId="1489"/>
    <cellStyle name="Neutral 9" xfId="1490"/>
    <cellStyle name="Normal" xfId="0" builtinId="0"/>
    <cellStyle name="Normal 10" xfId="1491"/>
    <cellStyle name="Normal 100" xfId="2246"/>
    <cellStyle name="Normal 11" xfId="1492"/>
    <cellStyle name="Normal 12" xfId="1493"/>
    <cellStyle name="Normal 13" xfId="1494"/>
    <cellStyle name="Normal 14" xfId="1495"/>
    <cellStyle name="Normal 15" xfId="1496"/>
    <cellStyle name="Normal 16" xfId="1497"/>
    <cellStyle name="Normal 17" xfId="1498"/>
    <cellStyle name="Normal 18" xfId="1499"/>
    <cellStyle name="Normal 19" xfId="1500"/>
    <cellStyle name="Normal 2" xfId="1"/>
    <cellStyle name="Normal 2 2" xfId="2261"/>
    <cellStyle name="Normal 2 2 2" xfId="2281"/>
    <cellStyle name="Normal 2 2 90" xfId="2286"/>
    <cellStyle name="Normal 2 3" xfId="1501"/>
    <cellStyle name="Normal 2_Cuadros Inf  Económico S  Externo JUNIO-2008" xfId="1502"/>
    <cellStyle name="Normal 20" xfId="1503"/>
    <cellStyle name="Normal 21" xfId="1504"/>
    <cellStyle name="Normal 22" xfId="1505"/>
    <cellStyle name="Normal 23" xfId="1506"/>
    <cellStyle name="Normal 24" xfId="1507"/>
    <cellStyle name="Normal 25" xfId="1508"/>
    <cellStyle name="Normal 26" xfId="1509"/>
    <cellStyle name="Normal 27" xfId="1510"/>
    <cellStyle name="Normal 28" xfId="1511"/>
    <cellStyle name="Normal 29" xfId="1512"/>
    <cellStyle name="Normal 3" xfId="1513"/>
    <cellStyle name="Normal 3 2" xfId="2282"/>
    <cellStyle name="Normal 30" xfId="1514"/>
    <cellStyle name="Normal 31" xfId="1515"/>
    <cellStyle name="Normal 32" xfId="1516"/>
    <cellStyle name="Normal 33" xfId="1517"/>
    <cellStyle name="Normal 34" xfId="1518"/>
    <cellStyle name="Normal 35" xfId="1519"/>
    <cellStyle name="Normal 36" xfId="1520"/>
    <cellStyle name="Normal 37" xfId="1521"/>
    <cellStyle name="Normal 38" xfId="1522"/>
    <cellStyle name="Normal 39" xfId="1523"/>
    <cellStyle name="Normal 4" xfId="1524"/>
    <cellStyle name="Normal 40" xfId="1525"/>
    <cellStyle name="Normal 41" xfId="1526"/>
    <cellStyle name="Normal 42" xfId="1527"/>
    <cellStyle name="Normal 43" xfId="1528"/>
    <cellStyle name="Normal 44" xfId="1529"/>
    <cellStyle name="Normal 45" xfId="1530"/>
    <cellStyle name="Normal 46" xfId="1531"/>
    <cellStyle name="Normal 47" xfId="1532"/>
    <cellStyle name="Normal 47 2" xfId="1986"/>
    <cellStyle name="Normal 47 2 2" xfId="2096"/>
    <cellStyle name="Normal 47 2 3" xfId="2192"/>
    <cellStyle name="Normal 47 3" xfId="2027"/>
    <cellStyle name="Normal 47 3 2" xfId="2127"/>
    <cellStyle name="Normal 47 3 3" xfId="2223"/>
    <cellStyle name="Normal 47 4" xfId="2065"/>
    <cellStyle name="Normal 47 5" xfId="2161"/>
    <cellStyle name="Normal 48" xfId="1533"/>
    <cellStyle name="Normal 48 2" xfId="1987"/>
    <cellStyle name="Normal 48 2 2" xfId="2097"/>
    <cellStyle name="Normal 48 2 3" xfId="2193"/>
    <cellStyle name="Normal 48 3" xfId="2028"/>
    <cellStyle name="Normal 48 3 2" xfId="2128"/>
    <cellStyle name="Normal 48 3 3" xfId="2224"/>
    <cellStyle name="Normal 48 4" xfId="2066"/>
    <cellStyle name="Normal 48 5" xfId="2162"/>
    <cellStyle name="Normal 49" xfId="1534"/>
    <cellStyle name="Normal 49 2" xfId="1988"/>
    <cellStyle name="Normal 49 2 2" xfId="2098"/>
    <cellStyle name="Normal 49 2 3" xfId="2194"/>
    <cellStyle name="Normal 49 3" xfId="2029"/>
    <cellStyle name="Normal 49 3 2" xfId="2129"/>
    <cellStyle name="Normal 49 3 3" xfId="2225"/>
    <cellStyle name="Normal 49 4" xfId="2067"/>
    <cellStyle name="Normal 49 5" xfId="2163"/>
    <cellStyle name="Normal 5" xfId="1535"/>
    <cellStyle name="Normal 50" xfId="1536"/>
    <cellStyle name="Normal 50 2" xfId="1989"/>
    <cellStyle name="Normal 50 2 2" xfId="2099"/>
    <cellStyle name="Normal 50 2 3" xfId="2195"/>
    <cellStyle name="Normal 50 3" xfId="2030"/>
    <cellStyle name="Normal 50 3 2" xfId="2130"/>
    <cellStyle name="Normal 50 3 3" xfId="2226"/>
    <cellStyle name="Normal 50 4" xfId="2068"/>
    <cellStyle name="Normal 50 5" xfId="2164"/>
    <cellStyle name="Normal 51" xfId="1537"/>
    <cellStyle name="Normal 51 2" xfId="1990"/>
    <cellStyle name="Normal 51 2 2" xfId="2100"/>
    <cellStyle name="Normal 51 2 3" xfId="2196"/>
    <cellStyle name="Normal 51 3" xfId="2031"/>
    <cellStyle name="Normal 51 3 2" xfId="2131"/>
    <cellStyle name="Normal 51 3 3" xfId="2227"/>
    <cellStyle name="Normal 51 4" xfId="2069"/>
    <cellStyle name="Normal 51 5" xfId="2165"/>
    <cellStyle name="Normal 52" xfId="1538"/>
    <cellStyle name="Normal 52 2" xfId="1991"/>
    <cellStyle name="Normal 52 2 2" xfId="2101"/>
    <cellStyle name="Normal 52 2 3" xfId="2197"/>
    <cellStyle name="Normal 52 3" xfId="2032"/>
    <cellStyle name="Normal 52 3 2" xfId="2132"/>
    <cellStyle name="Normal 52 3 3" xfId="2228"/>
    <cellStyle name="Normal 52 4" xfId="2070"/>
    <cellStyle name="Normal 52 5" xfId="2166"/>
    <cellStyle name="Normal 53" xfId="1539"/>
    <cellStyle name="Normal 53 2" xfId="1992"/>
    <cellStyle name="Normal 53 2 2" xfId="2102"/>
    <cellStyle name="Normal 53 2 3" xfId="2198"/>
    <cellStyle name="Normal 53 3" xfId="2033"/>
    <cellStyle name="Normal 53 3 2" xfId="2133"/>
    <cellStyle name="Normal 53 3 3" xfId="2229"/>
    <cellStyle name="Normal 53 4" xfId="2071"/>
    <cellStyle name="Normal 53 5" xfId="2167"/>
    <cellStyle name="Normal 54" xfId="1540"/>
    <cellStyle name="Normal 54 2" xfId="1993"/>
    <cellStyle name="Normal 54 2 2" xfId="2103"/>
    <cellStyle name="Normal 54 2 3" xfId="2199"/>
    <cellStyle name="Normal 54 3" xfId="2034"/>
    <cellStyle name="Normal 54 3 2" xfId="2134"/>
    <cellStyle name="Normal 54 3 3" xfId="2230"/>
    <cellStyle name="Normal 54 4" xfId="2072"/>
    <cellStyle name="Normal 54 5" xfId="2168"/>
    <cellStyle name="Normal 55" xfId="1541"/>
    <cellStyle name="Normal 55 2" xfId="1994"/>
    <cellStyle name="Normal 55 2 2" xfId="2104"/>
    <cellStyle name="Normal 55 2 3" xfId="2200"/>
    <cellStyle name="Normal 55 3" xfId="2035"/>
    <cellStyle name="Normal 55 3 2" xfId="2135"/>
    <cellStyle name="Normal 55 3 3" xfId="2231"/>
    <cellStyle name="Normal 55 4" xfId="2073"/>
    <cellStyle name="Normal 55 5" xfId="2169"/>
    <cellStyle name="Normal 56" xfId="1542"/>
    <cellStyle name="Normal 56 2" xfId="1995"/>
    <cellStyle name="Normal 56 2 2" xfId="2105"/>
    <cellStyle name="Normal 56 2 3" xfId="2201"/>
    <cellStyle name="Normal 56 3" xfId="2036"/>
    <cellStyle name="Normal 56 3 2" xfId="2136"/>
    <cellStyle name="Normal 56 3 3" xfId="2232"/>
    <cellStyle name="Normal 56 4" xfId="2074"/>
    <cellStyle name="Normal 56 5" xfId="2170"/>
    <cellStyle name="Normal 57" xfId="1543"/>
    <cellStyle name="Normal 57 2" xfId="1996"/>
    <cellStyle name="Normal 57 2 2" xfId="2106"/>
    <cellStyle name="Normal 57 2 3" xfId="2202"/>
    <cellStyle name="Normal 57 3" xfId="2037"/>
    <cellStyle name="Normal 57 3 2" xfId="2137"/>
    <cellStyle name="Normal 57 3 3" xfId="2233"/>
    <cellStyle name="Normal 57 4" xfId="2075"/>
    <cellStyle name="Normal 57 5" xfId="2171"/>
    <cellStyle name="Normal 58" xfId="1544"/>
    <cellStyle name="Normal 58 2" xfId="1997"/>
    <cellStyle name="Normal 58 2 2" xfId="2107"/>
    <cellStyle name="Normal 58 2 3" xfId="2203"/>
    <cellStyle name="Normal 58 3" xfId="2038"/>
    <cellStyle name="Normal 58 3 2" xfId="2138"/>
    <cellStyle name="Normal 58 3 3" xfId="2234"/>
    <cellStyle name="Normal 58 4" xfId="2076"/>
    <cellStyle name="Normal 58 5" xfId="2172"/>
    <cellStyle name="Normal 59" xfId="1545"/>
    <cellStyle name="Normal 59 2" xfId="1998"/>
    <cellStyle name="Normal 59 2 2" xfId="2108"/>
    <cellStyle name="Normal 59 2 3" xfId="2204"/>
    <cellStyle name="Normal 59 3" xfId="2039"/>
    <cellStyle name="Normal 59 3 2" xfId="2139"/>
    <cellStyle name="Normal 59 3 3" xfId="2235"/>
    <cellStyle name="Normal 59 4" xfId="2077"/>
    <cellStyle name="Normal 59 5" xfId="2173"/>
    <cellStyle name="Normal 6" xfId="1546"/>
    <cellStyle name="Normal 60" xfId="1547"/>
    <cellStyle name="Normal 60 2" xfId="1999"/>
    <cellStyle name="Normal 60 2 2" xfId="2109"/>
    <cellStyle name="Normal 60 2 3" xfId="2205"/>
    <cellStyle name="Normal 60 3" xfId="2040"/>
    <cellStyle name="Normal 60 3 2" xfId="2140"/>
    <cellStyle name="Normal 60 3 3" xfId="2236"/>
    <cellStyle name="Normal 60 4" xfId="2078"/>
    <cellStyle name="Normal 60 5" xfId="2174"/>
    <cellStyle name="Normal 61" xfId="1548"/>
    <cellStyle name="Normal 61 2" xfId="2000"/>
    <cellStyle name="Normal 61 2 2" xfId="2110"/>
    <cellStyle name="Normal 61 2 3" xfId="2206"/>
    <cellStyle name="Normal 61 3" xfId="2041"/>
    <cellStyle name="Normal 61 3 2" xfId="2141"/>
    <cellStyle name="Normal 61 3 3" xfId="2237"/>
    <cellStyle name="Normal 61 4" xfId="2079"/>
    <cellStyle name="Normal 61 5" xfId="2175"/>
    <cellStyle name="Normal 62" xfId="1549"/>
    <cellStyle name="Normal 62 2" xfId="2001"/>
    <cellStyle name="Normal 62 2 2" xfId="2111"/>
    <cellStyle name="Normal 62 2 3" xfId="2207"/>
    <cellStyle name="Normal 62 3" xfId="2042"/>
    <cellStyle name="Normal 62 3 2" xfId="2142"/>
    <cellStyle name="Normal 62 3 3" xfId="2238"/>
    <cellStyle name="Normal 62 4" xfId="2080"/>
    <cellStyle name="Normal 62 5" xfId="2176"/>
    <cellStyle name="Normal 63" xfId="1550"/>
    <cellStyle name="Normal 63 2" xfId="2002"/>
    <cellStyle name="Normal 63 2 2" xfId="2112"/>
    <cellStyle name="Normal 63 2 3" xfId="2208"/>
    <cellStyle name="Normal 63 3" xfId="2043"/>
    <cellStyle name="Normal 63 3 2" xfId="2143"/>
    <cellStyle name="Normal 63 3 3" xfId="2239"/>
    <cellStyle name="Normal 63 4" xfId="2081"/>
    <cellStyle name="Normal 63 5" xfId="2177"/>
    <cellStyle name="Normal 64" xfId="1551"/>
    <cellStyle name="Normal 64 2" xfId="2003"/>
    <cellStyle name="Normal 64 2 2" xfId="2113"/>
    <cellStyle name="Normal 64 2 3" xfId="2209"/>
    <cellStyle name="Normal 64 3" xfId="2044"/>
    <cellStyle name="Normal 64 3 2" xfId="2144"/>
    <cellStyle name="Normal 64 3 3" xfId="2240"/>
    <cellStyle name="Normal 64 4" xfId="2082"/>
    <cellStyle name="Normal 64 5" xfId="2178"/>
    <cellStyle name="Normal 65" xfId="1552"/>
    <cellStyle name="Normal 65 2" xfId="2004"/>
    <cellStyle name="Normal 65 2 2" xfId="2114"/>
    <cellStyle name="Normal 65 2 3" xfId="2210"/>
    <cellStyle name="Normal 65 3" xfId="2045"/>
    <cellStyle name="Normal 65 3 2" xfId="2145"/>
    <cellStyle name="Normal 65 3 3" xfId="2241"/>
    <cellStyle name="Normal 65 4" xfId="2083"/>
    <cellStyle name="Normal 65 5" xfId="2179"/>
    <cellStyle name="Normal 66" xfId="2009"/>
    <cellStyle name="Normal 67" xfId="2010"/>
    <cellStyle name="Normal 68" xfId="2008"/>
    <cellStyle name="Normal 69" xfId="1972"/>
    <cellStyle name="Normal 7" xfId="1553"/>
    <cellStyle name="Normal 70" xfId="2007"/>
    <cellStyle name="Normal 71" xfId="2052"/>
    <cellStyle name="Normal 72" xfId="2146"/>
    <cellStyle name="Normal 72 2" xfId="2243"/>
    <cellStyle name="Normal 73" xfId="2244"/>
    <cellStyle name="Normal 74" xfId="2247"/>
    <cellStyle name="Normal 75" xfId="2245"/>
    <cellStyle name="Normal 75 2" xfId="2249"/>
    <cellStyle name="Normal 76" xfId="2248"/>
    <cellStyle name="Normal 77" xfId="2251"/>
    <cellStyle name="Normal 78" xfId="2255"/>
    <cellStyle name="Normal 79" xfId="2048"/>
    <cellStyle name="Normal 8" xfId="1554"/>
    <cellStyle name="Normal 80" xfId="2051"/>
    <cellStyle name="Normal 81" xfId="2250"/>
    <cellStyle name="Normal 82" xfId="2256"/>
    <cellStyle name="Normal 83" xfId="2258"/>
    <cellStyle name="Normal 84" xfId="2257"/>
    <cellStyle name="Normal 85" xfId="2259"/>
    <cellStyle name="Normal 86" xfId="2262"/>
    <cellStyle name="Normal 87" xfId="2263"/>
    <cellStyle name="Normal 88" xfId="2265"/>
    <cellStyle name="Normal 89" xfId="13"/>
    <cellStyle name="Normal 89 37" xfId="8"/>
    <cellStyle name="Normal 9" xfId="1555"/>
    <cellStyle name="Normal 90" xfId="2266"/>
    <cellStyle name="Normal 91" xfId="2272"/>
    <cellStyle name="Normal_Cuentas cuadros de coyuntura(jun07)_Anexo Estadístico NOVIEMBRE 2008 IMAEP" xfId="2277"/>
    <cellStyle name="Notas 10" xfId="1557"/>
    <cellStyle name="Notas 11" xfId="1558"/>
    <cellStyle name="Notas 12" xfId="1559"/>
    <cellStyle name="Notas 13" xfId="1560"/>
    <cellStyle name="Notas 14" xfId="1561"/>
    <cellStyle name="Notas 15" xfId="1562"/>
    <cellStyle name="Notas 16" xfId="1563"/>
    <cellStyle name="Notas 17" xfId="1564"/>
    <cellStyle name="Notas 18" xfId="1565"/>
    <cellStyle name="Notas 19" xfId="1566"/>
    <cellStyle name="Notas 2" xfId="1567"/>
    <cellStyle name="Notas 20" xfId="1568"/>
    <cellStyle name="Notas 21" xfId="1569"/>
    <cellStyle name="Notas 22" xfId="1570"/>
    <cellStyle name="Notas 23" xfId="1571"/>
    <cellStyle name="Notas 24" xfId="1572"/>
    <cellStyle name="Notas 25" xfId="1573"/>
    <cellStyle name="Notas 26" xfId="1574"/>
    <cellStyle name="Notas 27" xfId="1575"/>
    <cellStyle name="Notas 28" xfId="1576"/>
    <cellStyle name="Notas 29" xfId="1577"/>
    <cellStyle name="Notas 3" xfId="1578"/>
    <cellStyle name="Notas 30" xfId="1579"/>
    <cellStyle name="Notas 31" xfId="1580"/>
    <cellStyle name="Notas 32" xfId="1581"/>
    <cellStyle name="Notas 33" xfId="1582"/>
    <cellStyle name="Notas 34" xfId="1583"/>
    <cellStyle name="Notas 35" xfId="1584"/>
    <cellStyle name="Notas 36" xfId="1585"/>
    <cellStyle name="Notas 37" xfId="1586"/>
    <cellStyle name="Notas 38" xfId="1587"/>
    <cellStyle name="Notas 39" xfId="1588"/>
    <cellStyle name="Notas 4" xfId="1589"/>
    <cellStyle name="Notas 40" xfId="1590"/>
    <cellStyle name="Notas 41" xfId="1591"/>
    <cellStyle name="Notas 42" xfId="1592"/>
    <cellStyle name="Notas 43" xfId="1593"/>
    <cellStyle name="Notas 44" xfId="1594"/>
    <cellStyle name="Notas 45" xfId="1595"/>
    <cellStyle name="Notas 46" xfId="1596"/>
    <cellStyle name="Notas 46 2" xfId="2006"/>
    <cellStyle name="Notas 46 3" xfId="2047"/>
    <cellStyle name="Notas 47" xfId="2005"/>
    <cellStyle name="Notas 48" xfId="2046"/>
    <cellStyle name="Notas 49" xfId="1556"/>
    <cellStyle name="Notas 5" xfId="1597"/>
    <cellStyle name="Notas 6" xfId="1598"/>
    <cellStyle name="Notas 7" xfId="1599"/>
    <cellStyle name="Notas 8" xfId="1600"/>
    <cellStyle name="Notas 9" xfId="1601"/>
    <cellStyle name="Percent" xfId="7" builtinId="5"/>
    <cellStyle name="Porcentaje 2" xfId="2147"/>
    <cellStyle name="Porcentaje 3" xfId="1602"/>
    <cellStyle name="Porcentual 2" xfId="1603"/>
    <cellStyle name="Porcentual 3" xfId="2252"/>
    <cellStyle name="Salida 10" xfId="1605"/>
    <cellStyle name="Salida 11" xfId="1606"/>
    <cellStyle name="Salida 12" xfId="1607"/>
    <cellStyle name="Salida 13" xfId="1608"/>
    <cellStyle name="Salida 14" xfId="1609"/>
    <cellStyle name="Salida 15" xfId="1610"/>
    <cellStyle name="Salida 16" xfId="1611"/>
    <cellStyle name="Salida 17" xfId="1612"/>
    <cellStyle name="Salida 18" xfId="1613"/>
    <cellStyle name="Salida 19" xfId="1614"/>
    <cellStyle name="Salida 2" xfId="1615"/>
    <cellStyle name="Salida 20" xfId="1616"/>
    <cellStyle name="Salida 21" xfId="1617"/>
    <cellStyle name="Salida 22" xfId="1618"/>
    <cellStyle name="Salida 23" xfId="1619"/>
    <cellStyle name="Salida 24" xfId="1620"/>
    <cellStyle name="Salida 25" xfId="1621"/>
    <cellStyle name="Salida 26" xfId="1622"/>
    <cellStyle name="Salida 27" xfId="1623"/>
    <cellStyle name="Salida 28" xfId="1624"/>
    <cellStyle name="Salida 29" xfId="1625"/>
    <cellStyle name="Salida 3" xfId="1626"/>
    <cellStyle name="Salida 30" xfId="1627"/>
    <cellStyle name="Salida 31" xfId="1628"/>
    <cellStyle name="Salida 32" xfId="1629"/>
    <cellStyle name="Salida 33" xfId="1630"/>
    <cellStyle name="Salida 34" xfId="1631"/>
    <cellStyle name="Salida 35" xfId="1632"/>
    <cellStyle name="Salida 36" xfId="1633"/>
    <cellStyle name="Salida 37" xfId="1634"/>
    <cellStyle name="Salida 38" xfId="1635"/>
    <cellStyle name="Salida 39" xfId="1636"/>
    <cellStyle name="Salida 4" xfId="1637"/>
    <cellStyle name="Salida 40" xfId="1638"/>
    <cellStyle name="Salida 41" xfId="1639"/>
    <cellStyle name="Salida 42" xfId="1640"/>
    <cellStyle name="Salida 43" xfId="1641"/>
    <cellStyle name="Salida 44" xfId="1642"/>
    <cellStyle name="Salida 45" xfId="1643"/>
    <cellStyle name="Salida 46" xfId="1644"/>
    <cellStyle name="Salida 47" xfId="1604"/>
    <cellStyle name="Salida 5" xfId="1645"/>
    <cellStyle name="Salida 6" xfId="1646"/>
    <cellStyle name="Salida 7" xfId="1647"/>
    <cellStyle name="Salida 8" xfId="1648"/>
    <cellStyle name="Salida 9" xfId="1649"/>
    <cellStyle name="Texto de advertencia 10" xfId="1651"/>
    <cellStyle name="Texto de advertencia 11" xfId="1652"/>
    <cellStyle name="Texto de advertencia 12" xfId="1653"/>
    <cellStyle name="Texto de advertencia 13" xfId="1654"/>
    <cellStyle name="Texto de advertencia 14" xfId="1655"/>
    <cellStyle name="Texto de advertencia 15" xfId="1656"/>
    <cellStyle name="Texto de advertencia 16" xfId="1657"/>
    <cellStyle name="Texto de advertencia 17" xfId="1658"/>
    <cellStyle name="Texto de advertencia 18" xfId="1659"/>
    <cellStyle name="Texto de advertencia 19" xfId="1660"/>
    <cellStyle name="Texto de advertencia 2" xfId="1661"/>
    <cellStyle name="Texto de advertencia 20" xfId="1662"/>
    <cellStyle name="Texto de advertencia 21" xfId="1663"/>
    <cellStyle name="Texto de advertencia 22" xfId="1664"/>
    <cellStyle name="Texto de advertencia 23" xfId="1665"/>
    <cellStyle name="Texto de advertencia 24" xfId="1666"/>
    <cellStyle name="Texto de advertencia 25" xfId="1667"/>
    <cellStyle name="Texto de advertencia 26" xfId="1668"/>
    <cellStyle name="Texto de advertencia 27" xfId="1669"/>
    <cellStyle name="Texto de advertencia 28" xfId="1670"/>
    <cellStyle name="Texto de advertencia 29" xfId="1671"/>
    <cellStyle name="Texto de advertencia 3" xfId="1672"/>
    <cellStyle name="Texto de advertencia 30" xfId="1673"/>
    <cellStyle name="Texto de advertencia 31" xfId="1674"/>
    <cellStyle name="Texto de advertencia 32" xfId="1675"/>
    <cellStyle name="Texto de advertencia 33" xfId="1676"/>
    <cellStyle name="Texto de advertencia 34" xfId="1677"/>
    <cellStyle name="Texto de advertencia 35" xfId="1678"/>
    <cellStyle name="Texto de advertencia 36" xfId="1679"/>
    <cellStyle name="Texto de advertencia 37" xfId="1680"/>
    <cellStyle name="Texto de advertencia 38" xfId="1681"/>
    <cellStyle name="Texto de advertencia 39" xfId="1682"/>
    <cellStyle name="Texto de advertencia 4" xfId="1683"/>
    <cellStyle name="Texto de advertencia 40" xfId="1684"/>
    <cellStyle name="Texto de advertencia 41" xfId="1685"/>
    <cellStyle name="Texto de advertencia 42" xfId="1686"/>
    <cellStyle name="Texto de advertencia 43" xfId="1687"/>
    <cellStyle name="Texto de advertencia 44" xfId="1688"/>
    <cellStyle name="Texto de advertencia 45" xfId="1689"/>
    <cellStyle name="Texto de advertencia 46" xfId="1690"/>
    <cellStyle name="Texto de advertencia 47" xfId="1650"/>
    <cellStyle name="Texto de advertencia 5" xfId="1691"/>
    <cellStyle name="Texto de advertencia 6" xfId="1692"/>
    <cellStyle name="Texto de advertencia 7" xfId="1693"/>
    <cellStyle name="Texto de advertencia 8" xfId="1694"/>
    <cellStyle name="Texto de advertencia 9" xfId="1695"/>
    <cellStyle name="Texto explicativo 10" xfId="1697"/>
    <cellStyle name="Texto explicativo 11" xfId="1698"/>
    <cellStyle name="Texto explicativo 12" xfId="1699"/>
    <cellStyle name="Texto explicativo 13" xfId="1700"/>
    <cellStyle name="Texto explicativo 14" xfId="1701"/>
    <cellStyle name="Texto explicativo 15" xfId="1702"/>
    <cellStyle name="Texto explicativo 16" xfId="1703"/>
    <cellStyle name="Texto explicativo 17" xfId="1704"/>
    <cellStyle name="Texto explicativo 18" xfId="1705"/>
    <cellStyle name="Texto explicativo 19" xfId="1706"/>
    <cellStyle name="Texto explicativo 2" xfId="1707"/>
    <cellStyle name="Texto explicativo 20" xfId="1708"/>
    <cellStyle name="Texto explicativo 21" xfId="1709"/>
    <cellStyle name="Texto explicativo 22" xfId="1710"/>
    <cellStyle name="Texto explicativo 23" xfId="1711"/>
    <cellStyle name="Texto explicativo 24" xfId="1712"/>
    <cellStyle name="Texto explicativo 25" xfId="1713"/>
    <cellStyle name="Texto explicativo 26" xfId="1714"/>
    <cellStyle name="Texto explicativo 27" xfId="1715"/>
    <cellStyle name="Texto explicativo 28" xfId="1716"/>
    <cellStyle name="Texto explicativo 29" xfId="1717"/>
    <cellStyle name="Texto explicativo 3" xfId="1718"/>
    <cellStyle name="Texto explicativo 30" xfId="1719"/>
    <cellStyle name="Texto explicativo 31" xfId="1720"/>
    <cellStyle name="Texto explicativo 32" xfId="1721"/>
    <cellStyle name="Texto explicativo 33" xfId="1722"/>
    <cellStyle name="Texto explicativo 34" xfId="1723"/>
    <cellStyle name="Texto explicativo 35" xfId="1724"/>
    <cellStyle name="Texto explicativo 36" xfId="1725"/>
    <cellStyle name="Texto explicativo 37" xfId="1726"/>
    <cellStyle name="Texto explicativo 38" xfId="1727"/>
    <cellStyle name="Texto explicativo 39" xfId="1728"/>
    <cellStyle name="Texto explicativo 4" xfId="1729"/>
    <cellStyle name="Texto explicativo 40" xfId="1730"/>
    <cellStyle name="Texto explicativo 41" xfId="1731"/>
    <cellStyle name="Texto explicativo 42" xfId="1732"/>
    <cellStyle name="Texto explicativo 43" xfId="1733"/>
    <cellStyle name="Texto explicativo 44" xfId="1734"/>
    <cellStyle name="Texto explicativo 45" xfId="1735"/>
    <cellStyle name="Texto explicativo 46" xfId="1736"/>
    <cellStyle name="Texto explicativo 47" xfId="1696"/>
    <cellStyle name="Texto explicativo 5" xfId="1737"/>
    <cellStyle name="Texto explicativo 6" xfId="1738"/>
    <cellStyle name="Texto explicativo 7" xfId="1739"/>
    <cellStyle name="Texto explicativo 8" xfId="1740"/>
    <cellStyle name="Texto explicativo 9" xfId="1741"/>
    <cellStyle name="Título 1 10" xfId="1744"/>
    <cellStyle name="Título 1 11" xfId="1745"/>
    <cellStyle name="Título 1 12" xfId="1746"/>
    <cellStyle name="Título 1 13" xfId="1747"/>
    <cellStyle name="Título 1 14" xfId="1748"/>
    <cellStyle name="Título 1 15" xfId="1749"/>
    <cellStyle name="Título 1 16" xfId="1750"/>
    <cellStyle name="Título 1 17" xfId="1751"/>
    <cellStyle name="Título 1 18" xfId="1752"/>
    <cellStyle name="Título 1 19" xfId="1753"/>
    <cellStyle name="Título 1 2" xfId="1754"/>
    <cellStyle name="Título 1 20" xfId="1755"/>
    <cellStyle name="Título 1 21" xfId="1756"/>
    <cellStyle name="Título 1 22" xfId="1757"/>
    <cellStyle name="Título 1 23" xfId="1758"/>
    <cellStyle name="Título 1 24" xfId="1759"/>
    <cellStyle name="Título 1 25" xfId="1760"/>
    <cellStyle name="Título 1 26" xfId="1761"/>
    <cellStyle name="Título 1 27" xfId="1762"/>
    <cellStyle name="Título 1 28" xfId="1763"/>
    <cellStyle name="Título 1 29" xfId="1764"/>
    <cellStyle name="Título 1 3" xfId="1765"/>
    <cellStyle name="Título 1 30" xfId="1766"/>
    <cellStyle name="Título 1 31" xfId="1767"/>
    <cellStyle name="Título 1 32" xfId="1768"/>
    <cellStyle name="Título 1 33" xfId="1769"/>
    <cellStyle name="Título 1 34" xfId="1770"/>
    <cellStyle name="Título 1 35" xfId="1771"/>
    <cellStyle name="Título 1 36" xfId="1772"/>
    <cellStyle name="Título 1 37" xfId="1773"/>
    <cellStyle name="Título 1 38" xfId="1774"/>
    <cellStyle name="Título 1 39" xfId="1775"/>
    <cellStyle name="Título 1 4" xfId="1776"/>
    <cellStyle name="Título 1 40" xfId="1777"/>
    <cellStyle name="Título 1 41" xfId="1778"/>
    <cellStyle name="Título 1 42" xfId="1779"/>
    <cellStyle name="Título 1 43" xfId="1780"/>
    <cellStyle name="Título 1 44" xfId="1781"/>
    <cellStyle name="Título 1 45" xfId="1782"/>
    <cellStyle name="Título 1 46" xfId="1783"/>
    <cellStyle name="Título 1 47" xfId="1743"/>
    <cellStyle name="Título 1 5" xfId="1784"/>
    <cellStyle name="Título 1 6" xfId="1785"/>
    <cellStyle name="Título 1 7" xfId="1786"/>
    <cellStyle name="Título 1 8" xfId="1787"/>
    <cellStyle name="Título 1 9" xfId="1788"/>
    <cellStyle name="Título 10" xfId="1789"/>
    <cellStyle name="Título 11" xfId="1790"/>
    <cellStyle name="Título 12" xfId="1791"/>
    <cellStyle name="Título 13" xfId="1792"/>
    <cellStyle name="Título 14" xfId="1793"/>
    <cellStyle name="Título 15" xfId="1794"/>
    <cellStyle name="Título 16" xfId="1795"/>
    <cellStyle name="Título 17" xfId="1796"/>
    <cellStyle name="Título 18" xfId="1797"/>
    <cellStyle name="Título 19" xfId="1798"/>
    <cellStyle name="Título 2 10" xfId="1800"/>
    <cellStyle name="Título 2 11" xfId="1801"/>
    <cellStyle name="Título 2 12" xfId="1802"/>
    <cellStyle name="Título 2 13" xfId="1803"/>
    <cellStyle name="Título 2 14" xfId="1804"/>
    <cellStyle name="Título 2 15" xfId="1805"/>
    <cellStyle name="Título 2 16" xfId="1806"/>
    <cellStyle name="Título 2 17" xfId="1807"/>
    <cellStyle name="Título 2 18" xfId="1808"/>
    <cellStyle name="Título 2 19" xfId="1809"/>
    <cellStyle name="Título 2 2" xfId="1810"/>
    <cellStyle name="Título 2 20" xfId="1811"/>
    <cellStyle name="Título 2 21" xfId="1812"/>
    <cellStyle name="Título 2 22" xfId="1813"/>
    <cellStyle name="Título 2 23" xfId="1814"/>
    <cellStyle name="Título 2 24" xfId="1815"/>
    <cellStyle name="Título 2 25" xfId="1816"/>
    <cellStyle name="Título 2 26" xfId="1817"/>
    <cellStyle name="Título 2 27" xfId="1818"/>
    <cellStyle name="Título 2 28" xfId="1819"/>
    <cellStyle name="Título 2 29" xfId="1820"/>
    <cellStyle name="Título 2 3" xfId="1821"/>
    <cellStyle name="Título 2 30" xfId="1822"/>
    <cellStyle name="Título 2 31" xfId="1823"/>
    <cellStyle name="Título 2 32" xfId="1824"/>
    <cellStyle name="Título 2 33" xfId="1825"/>
    <cellStyle name="Título 2 34" xfId="1826"/>
    <cellStyle name="Título 2 35" xfId="1827"/>
    <cellStyle name="Título 2 36" xfId="1828"/>
    <cellStyle name="Título 2 37" xfId="1829"/>
    <cellStyle name="Título 2 38" xfId="1830"/>
    <cellStyle name="Título 2 39" xfId="1831"/>
    <cellStyle name="Título 2 4" xfId="1832"/>
    <cellStyle name="Título 2 40" xfId="1833"/>
    <cellStyle name="Título 2 41" xfId="1834"/>
    <cellStyle name="Título 2 42" xfId="1835"/>
    <cellStyle name="Título 2 43" xfId="1836"/>
    <cellStyle name="Título 2 44" xfId="1837"/>
    <cellStyle name="Título 2 45" xfId="1838"/>
    <cellStyle name="Título 2 46" xfId="1839"/>
    <cellStyle name="Título 2 47" xfId="1799"/>
    <cellStyle name="Título 2 5" xfId="1840"/>
    <cellStyle name="Título 2 6" xfId="1841"/>
    <cellStyle name="Título 2 7" xfId="1842"/>
    <cellStyle name="Título 2 8" xfId="1843"/>
    <cellStyle name="Título 2 9" xfId="1844"/>
    <cellStyle name="Título 20" xfId="1845"/>
    <cellStyle name="Título 21" xfId="1846"/>
    <cellStyle name="Título 22" xfId="1847"/>
    <cellStyle name="Título 23" xfId="1848"/>
    <cellStyle name="Título 24" xfId="1849"/>
    <cellStyle name="Título 25" xfId="1850"/>
    <cellStyle name="Título 26" xfId="1851"/>
    <cellStyle name="Título 27" xfId="1852"/>
    <cellStyle name="Título 28" xfId="1853"/>
    <cellStyle name="Título 29" xfId="1854"/>
    <cellStyle name="Título 3 10" xfId="1856"/>
    <cellStyle name="Título 3 11" xfId="1857"/>
    <cellStyle name="Título 3 12" xfId="1858"/>
    <cellStyle name="Título 3 13" xfId="1859"/>
    <cellStyle name="Título 3 14" xfId="1860"/>
    <cellStyle name="Título 3 15" xfId="1861"/>
    <cellStyle name="Título 3 16" xfId="1862"/>
    <cellStyle name="Título 3 17" xfId="1863"/>
    <cellStyle name="Título 3 18" xfId="1864"/>
    <cellStyle name="Título 3 19" xfId="1865"/>
    <cellStyle name="Título 3 2" xfId="1866"/>
    <cellStyle name="Título 3 20" xfId="1867"/>
    <cellStyle name="Título 3 21" xfId="1868"/>
    <cellStyle name="Título 3 22" xfId="1869"/>
    <cellStyle name="Título 3 23" xfId="1870"/>
    <cellStyle name="Título 3 24" xfId="1871"/>
    <cellStyle name="Título 3 25" xfId="1872"/>
    <cellStyle name="Título 3 26" xfId="1873"/>
    <cellStyle name="Título 3 27" xfId="1874"/>
    <cellStyle name="Título 3 28" xfId="1875"/>
    <cellStyle name="Título 3 29" xfId="1876"/>
    <cellStyle name="Título 3 3" xfId="1877"/>
    <cellStyle name="Título 3 30" xfId="1878"/>
    <cellStyle name="Título 3 31" xfId="1879"/>
    <cellStyle name="Título 3 32" xfId="1880"/>
    <cellStyle name="Título 3 33" xfId="1881"/>
    <cellStyle name="Título 3 34" xfId="1882"/>
    <cellStyle name="Título 3 35" xfId="1883"/>
    <cellStyle name="Título 3 36" xfId="1884"/>
    <cellStyle name="Título 3 37" xfId="1885"/>
    <cellStyle name="Título 3 38" xfId="1886"/>
    <cellStyle name="Título 3 39" xfId="1887"/>
    <cellStyle name="Título 3 4" xfId="1888"/>
    <cellStyle name="Título 3 40" xfId="1889"/>
    <cellStyle name="Título 3 41" xfId="1890"/>
    <cellStyle name="Título 3 42" xfId="1891"/>
    <cellStyle name="Título 3 43" xfId="1892"/>
    <cellStyle name="Título 3 44" xfId="1893"/>
    <cellStyle name="Título 3 45" xfId="1894"/>
    <cellStyle name="Título 3 46" xfId="1895"/>
    <cellStyle name="Título 3 47" xfId="1855"/>
    <cellStyle name="Título 3 5" xfId="1896"/>
    <cellStyle name="Título 3 6" xfId="1897"/>
    <cellStyle name="Título 3 7" xfId="1898"/>
    <cellStyle name="Título 3 8" xfId="1899"/>
    <cellStyle name="Título 3 9" xfId="1900"/>
    <cellStyle name="Título 30" xfId="1901"/>
    <cellStyle name="Título 31" xfId="1902"/>
    <cellStyle name="Título 32" xfId="1903"/>
    <cellStyle name="Título 33" xfId="1904"/>
    <cellStyle name="Título 34" xfId="1905"/>
    <cellStyle name="Título 35" xfId="1906"/>
    <cellStyle name="Título 36" xfId="1907"/>
    <cellStyle name="Título 37" xfId="1908"/>
    <cellStyle name="Título 38" xfId="1909"/>
    <cellStyle name="Título 39" xfId="1910"/>
    <cellStyle name="Título 4" xfId="1911"/>
    <cellStyle name="Título 40" xfId="1912"/>
    <cellStyle name="Título 41" xfId="1913"/>
    <cellStyle name="Título 42" xfId="1914"/>
    <cellStyle name="Título 43" xfId="1915"/>
    <cellStyle name="Título 44" xfId="1916"/>
    <cellStyle name="Título 45" xfId="1917"/>
    <cellStyle name="Título 46" xfId="1918"/>
    <cellStyle name="Título 47" xfId="1919"/>
    <cellStyle name="Título 48" xfId="1920"/>
    <cellStyle name="Título 49" xfId="1742"/>
    <cellStyle name="Título 5" xfId="1921"/>
    <cellStyle name="Título 6" xfId="1922"/>
    <cellStyle name="Título 7" xfId="1923"/>
    <cellStyle name="Título 8" xfId="1924"/>
    <cellStyle name="Título 9" xfId="1925"/>
    <cellStyle name="Total 10" xfId="1927"/>
    <cellStyle name="Total 11" xfId="1928"/>
    <cellStyle name="Total 12" xfId="1929"/>
    <cellStyle name="Total 13" xfId="1930"/>
    <cellStyle name="Total 14" xfId="1931"/>
    <cellStyle name="Total 15" xfId="1932"/>
    <cellStyle name="Total 16" xfId="1933"/>
    <cellStyle name="Total 17" xfId="1934"/>
    <cellStyle name="Total 18" xfId="1935"/>
    <cellStyle name="Total 19" xfId="1936"/>
    <cellStyle name="Total 2" xfId="1937"/>
    <cellStyle name="Total 20" xfId="1938"/>
    <cellStyle name="Total 21" xfId="1939"/>
    <cellStyle name="Total 22" xfId="1940"/>
    <cellStyle name="Total 23" xfId="1941"/>
    <cellStyle name="Total 24" xfId="1942"/>
    <cellStyle name="Total 25" xfId="1943"/>
    <cellStyle name="Total 26" xfId="1944"/>
    <cellStyle name="Total 27" xfId="1945"/>
    <cellStyle name="Total 28" xfId="1946"/>
    <cellStyle name="Total 29" xfId="1947"/>
    <cellStyle name="Total 3" xfId="1948"/>
    <cellStyle name="Total 30" xfId="1949"/>
    <cellStyle name="Total 31" xfId="1950"/>
    <cellStyle name="Total 32" xfId="1951"/>
    <cellStyle name="Total 33" xfId="1952"/>
    <cellStyle name="Total 34" xfId="1953"/>
    <cellStyle name="Total 35" xfId="1954"/>
    <cellStyle name="Total 36" xfId="1955"/>
    <cellStyle name="Total 37" xfId="1956"/>
    <cellStyle name="Total 38" xfId="1957"/>
    <cellStyle name="Total 39" xfId="1958"/>
    <cellStyle name="Total 4" xfId="1959"/>
    <cellStyle name="Total 40" xfId="1960"/>
    <cellStyle name="Total 41" xfId="1961"/>
    <cellStyle name="Total 42" xfId="1962"/>
    <cellStyle name="Total 43" xfId="1963"/>
    <cellStyle name="Total 44" xfId="1964"/>
    <cellStyle name="Total 45" xfId="1965"/>
    <cellStyle name="Total 46" xfId="1966"/>
    <cellStyle name="Total 47" xfId="1926"/>
    <cellStyle name="Total 5" xfId="1967"/>
    <cellStyle name="Total 6" xfId="1968"/>
    <cellStyle name="Total 7" xfId="1969"/>
    <cellStyle name="Total 8" xfId="1970"/>
    <cellStyle name="Total 9" xfId="1971"/>
  </cellStyles>
  <dxfs count="0"/>
  <tableStyles count="0" defaultTableStyle="TableStyleMedium2" defaultPivotStyle="PivotStyleLight16"/>
  <colors>
    <mruColors>
      <color rgb="FF00CCFF"/>
      <color rgb="FF0A38FF"/>
      <color rgb="FFBFBFBF"/>
      <color rgb="FFFFC000"/>
      <color rgb="FF953735"/>
      <color rgb="FFF1F0E7"/>
      <color rgb="FFEA9423"/>
      <color rgb="FF3366FF"/>
      <color rgb="FF0099FF"/>
      <color rgb="FFABB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harts/_rels/chart1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04.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05.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06.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07.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108.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109.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1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0.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111.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112.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113.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114.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115.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5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7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8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8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8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8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9.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91.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9157949908476E-2"/>
          <c:y val="7.5028056024965803E-2"/>
          <c:w val="0.92006413981049195"/>
          <c:h val="0.75760188990555799"/>
        </c:manualLayout>
      </c:layout>
      <c:lineChart>
        <c:grouping val="standard"/>
        <c:varyColors val="0"/>
        <c:ser>
          <c:idx val="0"/>
          <c:order val="0"/>
          <c:tx>
            <c:strRef>
              <c:f>'Real GDP pc'!$C$3</c:f>
              <c:strCache>
                <c:ptCount val="1"/>
                <c:pt idx="0">
                  <c:v>USD (1994)</c:v>
                </c:pt>
              </c:strCache>
            </c:strRef>
          </c:tx>
          <c:spPr>
            <a:ln>
              <a:solidFill>
                <a:sysClr val="windowText" lastClr="000000"/>
              </a:solidFill>
            </a:ln>
          </c:spPr>
          <c:marker>
            <c:symbol val="none"/>
          </c:marker>
          <c:cat>
            <c:numRef>
              <c:f>'Real GDP pc'!$B$4:$B$61</c:f>
              <c:numCache>
                <c:formatCode>General</c:formatCode>
                <c:ptCount val="58"/>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numCache>
            </c:numRef>
          </c:cat>
          <c:val>
            <c:numRef>
              <c:f>'Real GDP pc'!$G$4:$G$61</c:f>
              <c:numCache>
                <c:formatCode>0.0</c:formatCode>
                <c:ptCount val="58"/>
                <c:pt idx="0">
                  <c:v>6.6438561897747253</c:v>
                </c:pt>
                <c:pt idx="1">
                  <c:v>6.7019548887502198</c:v>
                </c:pt>
                <c:pt idx="2">
                  <c:v>6.7104690477823512</c:v>
                </c:pt>
                <c:pt idx="3">
                  <c:v>6.7384672600531372</c:v>
                </c:pt>
                <c:pt idx="4">
                  <c:v>6.7595944854213812</c:v>
                </c:pt>
                <c:pt idx="5">
                  <c:v>6.8076181050930114</c:v>
                </c:pt>
                <c:pt idx="6">
                  <c:v>6.7976096129720869</c:v>
                </c:pt>
                <c:pt idx="7">
                  <c:v>6.8853436139326467</c:v>
                </c:pt>
                <c:pt idx="8">
                  <c:v>6.9108733124224191</c:v>
                </c:pt>
                <c:pt idx="9">
                  <c:v>6.9393657447422861</c:v>
                </c:pt>
                <c:pt idx="10">
                  <c:v>6.9804071617615149</c:v>
                </c:pt>
                <c:pt idx="11">
                  <c:v>7.0225905429684667</c:v>
                </c:pt>
                <c:pt idx="12">
                  <c:v>7.0807185294551909</c:v>
                </c:pt>
                <c:pt idx="13">
                  <c:v>7.148158239602469</c:v>
                </c:pt>
                <c:pt idx="14">
                  <c:v>7.2295346653830146</c:v>
                </c:pt>
                <c:pt idx="15">
                  <c:v>7.2892406011751305</c:v>
                </c:pt>
                <c:pt idx="16">
                  <c:v>7.3572510274389815</c:v>
                </c:pt>
                <c:pt idx="17">
                  <c:v>7.4773252260740559</c:v>
                </c:pt>
                <c:pt idx="18">
                  <c:v>7.603686040828455</c:v>
                </c:pt>
                <c:pt idx="19">
                  <c:v>7.7269329660686985</c:v>
                </c:pt>
                <c:pt idx="20">
                  <c:v>7.8469642545120468</c:v>
                </c:pt>
                <c:pt idx="21">
                  <c:v>7.9321564246329661</c:v>
                </c:pt>
                <c:pt idx="22">
                  <c:v>7.8692510810525027</c:v>
                </c:pt>
                <c:pt idx="23">
                  <c:v>7.7816911305609509</c:v>
                </c:pt>
                <c:pt idx="24">
                  <c:v>7.7791358035441487</c:v>
                </c:pt>
                <c:pt idx="25">
                  <c:v>7.8013387421425184</c:v>
                </c:pt>
                <c:pt idx="26">
                  <c:v>7.8303659001396158</c:v>
                </c:pt>
                <c:pt idx="27">
                  <c:v>7.8952300610506985</c:v>
                </c:pt>
                <c:pt idx="28">
                  <c:v>7.9381831757856718</c:v>
                </c:pt>
                <c:pt idx="29">
                  <c:v>7.9958603287467884</c:v>
                </c:pt>
                <c:pt idx="30">
                  <c:v>8.0162422101506206</c:v>
                </c:pt>
                <c:pt idx="31">
                  <c:v>8.0289102812136832</c:v>
                </c:pt>
                <c:pt idx="32">
                  <c:v>8.0171024022804431</c:v>
                </c:pt>
                <c:pt idx="33">
                  <c:v>8.0513740334499975</c:v>
                </c:pt>
                <c:pt idx="34">
                  <c:v>8.0917479072188083</c:v>
                </c:pt>
                <c:pt idx="35">
                  <c:v>8.1534845351127068</c:v>
                </c:pt>
                <c:pt idx="36">
                  <c:v>8.14342364032189</c:v>
                </c:pt>
                <c:pt idx="37">
                  <c:v>8.1715857678131556</c:v>
                </c:pt>
                <c:pt idx="38">
                  <c:v>8.1414945922776383</c:v>
                </c:pt>
                <c:pt idx="39">
                  <c:v>8.0911975582857067</c:v>
                </c:pt>
                <c:pt idx="40">
                  <c:v>8.0442723915572465</c:v>
                </c:pt>
                <c:pt idx="41">
                  <c:v>8.00500369930975</c:v>
                </c:pt>
                <c:pt idx="42">
                  <c:v>7.978252709631529</c:v>
                </c:pt>
                <c:pt idx="43">
                  <c:v>8.0135022105770304</c:v>
                </c:pt>
                <c:pt idx="44">
                  <c:v>8.0456813198521679</c:v>
                </c:pt>
                <c:pt idx="45">
                  <c:v>8.0514918362665533</c:v>
                </c:pt>
                <c:pt idx="46">
                  <c:v>8.0950811733342078</c:v>
                </c:pt>
                <c:pt idx="47">
                  <c:v>8.1475531015901552</c:v>
                </c:pt>
                <c:pt idx="48">
                  <c:v>8.213235166993794</c:v>
                </c:pt>
                <c:pt idx="49">
                  <c:v>8.1319968561188514</c:v>
                </c:pt>
                <c:pt idx="50">
                  <c:v>8.2869698776156735</c:v>
                </c:pt>
                <c:pt idx="51">
                  <c:v>8.3260422511060366</c:v>
                </c:pt>
                <c:pt idx="52">
                  <c:v>8.2860591386373947</c:v>
                </c:pt>
                <c:pt idx="53">
                  <c:v>8.4538367961817631</c:v>
                </c:pt>
                <c:pt idx="54">
                  <c:v>8.4989653173002075</c:v>
                </c:pt>
                <c:pt idx="55">
                  <c:v>8.5198858345595081</c:v>
                </c:pt>
                <c:pt idx="56">
                  <c:v>8.5557988179670179</c:v>
                </c:pt>
                <c:pt idx="57">
                  <c:v>8.5955242735678148</c:v>
                </c:pt>
              </c:numCache>
            </c:numRef>
          </c:val>
          <c:smooth val="0"/>
          <c:extLst>
            <c:ext xmlns:c16="http://schemas.microsoft.com/office/drawing/2014/chart" uri="{C3380CC4-5D6E-409C-BE32-E72D297353CC}">
              <c16:uniqueId val="{00000000-A727-4380-ABA7-2EE0B3CABACE}"/>
            </c:ext>
          </c:extLst>
        </c:ser>
        <c:ser>
          <c:idx val="1"/>
          <c:order val="1"/>
          <c:tx>
            <c:v>Trend</c:v>
          </c:tx>
          <c:spPr>
            <a:ln>
              <a:solidFill>
                <a:schemeClr val="tx1"/>
              </a:solidFill>
              <a:prstDash val="sysDash"/>
            </a:ln>
          </c:spPr>
          <c:marker>
            <c:symbol val="none"/>
          </c:marker>
          <c:val>
            <c:numRef>
              <c:f>'Real GDP pc'!$H$4:$H$61</c:f>
              <c:numCache>
                <c:formatCode>0.0</c:formatCode>
                <c:ptCount val="58"/>
                <c:pt idx="0">
                  <c:v>6.6438561897747253</c:v>
                </c:pt>
                <c:pt idx="1">
                  <c:v>6.6724253419714952</c:v>
                </c:pt>
                <c:pt idx="2">
                  <c:v>6.7009944941682678</c:v>
                </c:pt>
                <c:pt idx="3">
                  <c:v>6.7295636463650386</c:v>
                </c:pt>
                <c:pt idx="4">
                  <c:v>6.7581327985618085</c:v>
                </c:pt>
                <c:pt idx="5">
                  <c:v>6.7867019507585793</c:v>
                </c:pt>
                <c:pt idx="6">
                  <c:v>6.8152711029553501</c:v>
                </c:pt>
                <c:pt idx="7">
                  <c:v>6.8438402551521209</c:v>
                </c:pt>
                <c:pt idx="8">
                  <c:v>6.8724094073488917</c:v>
                </c:pt>
                <c:pt idx="9">
                  <c:v>6.9009785595456634</c:v>
                </c:pt>
                <c:pt idx="10">
                  <c:v>6.9295477117424342</c:v>
                </c:pt>
                <c:pt idx="11">
                  <c:v>6.958116863939205</c:v>
                </c:pt>
                <c:pt idx="12">
                  <c:v>6.9866860161359758</c:v>
                </c:pt>
                <c:pt idx="13">
                  <c:v>7.0152551683327466</c:v>
                </c:pt>
                <c:pt idx="14">
                  <c:v>7.0438243205295175</c:v>
                </c:pt>
                <c:pt idx="15">
                  <c:v>7.0723934727262892</c:v>
                </c:pt>
                <c:pt idx="16">
                  <c:v>7.10096262492306</c:v>
                </c:pt>
                <c:pt idx="17">
                  <c:v>7.1295317771198308</c:v>
                </c:pt>
                <c:pt idx="18">
                  <c:v>7.1581009293166016</c:v>
                </c:pt>
                <c:pt idx="19">
                  <c:v>7.1866700815133724</c:v>
                </c:pt>
                <c:pt idx="20">
                  <c:v>7.2152392337101441</c:v>
                </c:pt>
                <c:pt idx="21">
                  <c:v>7.2438083859069149</c:v>
                </c:pt>
                <c:pt idx="22">
                  <c:v>7.2723775381036857</c:v>
                </c:pt>
                <c:pt idx="23">
                  <c:v>7.3009466903004565</c:v>
                </c:pt>
                <c:pt idx="24">
                  <c:v>7.3295158424972273</c:v>
                </c:pt>
                <c:pt idx="25">
                  <c:v>7.3580849946939972</c:v>
                </c:pt>
                <c:pt idx="26">
                  <c:v>7.3866541468907698</c:v>
                </c:pt>
                <c:pt idx="27">
                  <c:v>7.4152232990875389</c:v>
                </c:pt>
                <c:pt idx="28">
                  <c:v>7.4437924512843106</c:v>
                </c:pt>
                <c:pt idx="29">
                  <c:v>7.4723616034810822</c:v>
                </c:pt>
                <c:pt idx="30">
                  <c:v>7.5009307556778531</c:v>
                </c:pt>
                <c:pt idx="31">
                  <c:v>7.5294999078746239</c:v>
                </c:pt>
                <c:pt idx="32">
                  <c:v>7.5580690600713938</c:v>
                </c:pt>
                <c:pt idx="33">
                  <c:v>7.5866382122681664</c:v>
                </c:pt>
                <c:pt idx="34">
                  <c:v>7.6152073644649363</c:v>
                </c:pt>
                <c:pt idx="35">
                  <c:v>7.6437765166617071</c:v>
                </c:pt>
                <c:pt idx="36">
                  <c:v>7.6723456688584788</c:v>
                </c:pt>
                <c:pt idx="37">
                  <c:v>7.7009148210552487</c:v>
                </c:pt>
                <c:pt idx="38">
                  <c:v>7.7294839732520195</c:v>
                </c:pt>
                <c:pt idx="39">
                  <c:v>7.7580531254487912</c:v>
                </c:pt>
                <c:pt idx="40">
                  <c:v>7.786622277645562</c:v>
                </c:pt>
                <c:pt idx="41">
                  <c:v>7.8151914298423328</c:v>
                </c:pt>
                <c:pt idx="42">
                  <c:v>7.8437605820391036</c:v>
                </c:pt>
                <c:pt idx="43">
                  <c:v>7.8723297342358745</c:v>
                </c:pt>
                <c:pt idx="44">
                  <c:v>7.9008988864326453</c:v>
                </c:pt>
                <c:pt idx="45">
                  <c:v>7.929468038629417</c:v>
                </c:pt>
                <c:pt idx="46">
                  <c:v>7.9580371908261878</c:v>
                </c:pt>
                <c:pt idx="47">
                  <c:v>7.9866063430229586</c:v>
                </c:pt>
                <c:pt idx="48">
                  <c:v>8.0151754952197294</c:v>
                </c:pt>
                <c:pt idx="49">
                  <c:v>8.0437446474165011</c:v>
                </c:pt>
                <c:pt idx="50">
                  <c:v>8.072313799613271</c:v>
                </c:pt>
                <c:pt idx="51">
                  <c:v>8.1008829518100427</c:v>
                </c:pt>
                <c:pt idx="52">
                  <c:v>8.1294521040068126</c:v>
                </c:pt>
                <c:pt idx="53">
                  <c:v>8.1580212562035843</c:v>
                </c:pt>
                <c:pt idx="54">
                  <c:v>8.186590408400356</c:v>
                </c:pt>
                <c:pt idx="55">
                  <c:v>8.2151595605971259</c:v>
                </c:pt>
                <c:pt idx="56">
                  <c:v>8.2437287127938976</c:v>
                </c:pt>
                <c:pt idx="57">
                  <c:v>8.2722978649906675</c:v>
                </c:pt>
              </c:numCache>
            </c:numRef>
          </c:val>
          <c:smooth val="0"/>
          <c:extLst>
            <c:ext xmlns:c16="http://schemas.microsoft.com/office/drawing/2014/chart" uri="{C3380CC4-5D6E-409C-BE32-E72D297353CC}">
              <c16:uniqueId val="{00000000-686D-A44E-8B28-A8E7378B4CDF}"/>
            </c:ext>
          </c:extLst>
        </c:ser>
        <c:dLbls>
          <c:showLegendKey val="0"/>
          <c:showVal val="0"/>
          <c:showCatName val="0"/>
          <c:showSerName val="0"/>
          <c:showPercent val="0"/>
          <c:showBubbleSize val="0"/>
        </c:dLbls>
        <c:smooth val="0"/>
        <c:axId val="2126869904"/>
        <c:axId val="2126866912"/>
      </c:lineChart>
      <c:catAx>
        <c:axId val="2126869904"/>
        <c:scaling>
          <c:orientation val="minMax"/>
        </c:scaling>
        <c:delete val="0"/>
        <c:axPos val="b"/>
        <c:numFmt formatCode="General" sourceLinked="0"/>
        <c:majorTickMark val="none"/>
        <c:minorTickMark val="none"/>
        <c:tickLblPos val="nextTo"/>
        <c:txPr>
          <a:bodyPr rot="-5400000" vert="horz"/>
          <a:lstStyle/>
          <a:p>
            <a:pPr>
              <a:defRPr/>
            </a:pPr>
            <a:endParaRPr lang="en-US"/>
          </a:p>
        </c:txPr>
        <c:crossAx val="2126866912"/>
        <c:crosses val="autoZero"/>
        <c:auto val="1"/>
        <c:lblAlgn val="ctr"/>
        <c:lblOffset val="100"/>
        <c:noMultiLvlLbl val="0"/>
      </c:catAx>
      <c:valAx>
        <c:axId val="2126866912"/>
        <c:scaling>
          <c:orientation val="minMax"/>
          <c:min val="6.5"/>
        </c:scaling>
        <c:delete val="0"/>
        <c:axPos val="l"/>
        <c:numFmt formatCode="0.0" sourceLinked="1"/>
        <c:majorTickMark val="out"/>
        <c:minorTickMark val="none"/>
        <c:tickLblPos val="nextTo"/>
        <c:spPr>
          <a:ln/>
        </c:spPr>
        <c:crossAx val="2126869904"/>
        <c:crossesAt val="1"/>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9'!$B$3</c:f>
              <c:strCache>
                <c:ptCount val="1"/>
                <c:pt idx="0">
                  <c:v>total</c:v>
                </c:pt>
              </c:strCache>
            </c:strRef>
          </c:tx>
          <c:spPr>
            <a:solidFill>
              <a:schemeClr val="bg1">
                <a:lumMod val="50000"/>
              </a:schemeClr>
            </a:solidFill>
            <a:ln>
              <a:noFill/>
            </a:ln>
            <a:effectLst/>
          </c:spPr>
          <c:invertIfNegative val="0"/>
          <c:cat>
            <c:strRef>
              <c:f>'Figure 9'!$A$4:$A$57</c:f>
              <c:strCache>
                <c:ptCount val="54"/>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strCache>
            </c:strRef>
          </c:cat>
          <c:val>
            <c:numRef>
              <c:f>'Figure 9'!$B$4:$B$57</c:f>
              <c:numCache>
                <c:formatCode>0.000</c:formatCode>
                <c:ptCount val="54"/>
                <c:pt idx="0">
                  <c:v>-0.20180736423986234</c:v>
                </c:pt>
                <c:pt idx="1">
                  <c:v>1.2058520244425732</c:v>
                </c:pt>
                <c:pt idx="2">
                  <c:v>2.7469213148907716</c:v>
                </c:pt>
                <c:pt idx="3">
                  <c:v>2.8534366545325027</c:v>
                </c:pt>
                <c:pt idx="4">
                  <c:v>2.2734566483472696</c:v>
                </c:pt>
                <c:pt idx="5">
                  <c:v>5.8755411507007347</c:v>
                </c:pt>
                <c:pt idx="6">
                  <c:v>4.6250614623741102</c:v>
                </c:pt>
                <c:pt idx="7">
                  <c:v>2.3665407836337886</c:v>
                </c:pt>
                <c:pt idx="8">
                  <c:v>5.2811519462365428</c:v>
                </c:pt>
                <c:pt idx="9">
                  <c:v>2.2667009575272909</c:v>
                </c:pt>
                <c:pt idx="10">
                  <c:v>2.6188868182900849</c:v>
                </c:pt>
                <c:pt idx="11">
                  <c:v>-0.28283800818373289</c:v>
                </c:pt>
                <c:pt idx="12">
                  <c:v>-0.69183480089607818</c:v>
                </c:pt>
                <c:pt idx="13">
                  <c:v>3.3279451790456114</c:v>
                </c:pt>
                <c:pt idx="14">
                  <c:v>7.9209173842786367</c:v>
                </c:pt>
                <c:pt idx="15">
                  <c:v>1.7338480535191683</c:v>
                </c:pt>
                <c:pt idx="16">
                  <c:v>5.9547184536247322</c:v>
                </c:pt>
                <c:pt idx="17">
                  <c:v>-1.0487296443988263</c:v>
                </c:pt>
                <c:pt idx="18">
                  <c:v>2.3399276690750916</c:v>
                </c:pt>
                <c:pt idx="19">
                  <c:v>-0.90632258256374731</c:v>
                </c:pt>
                <c:pt idx="20">
                  <c:v>5.7363660298877157</c:v>
                </c:pt>
                <c:pt idx="21">
                  <c:v>13.477065701456304</c:v>
                </c:pt>
                <c:pt idx="22">
                  <c:v>7.520493499799052</c:v>
                </c:pt>
                <c:pt idx="23">
                  <c:v>2.7783411825149869</c:v>
                </c:pt>
                <c:pt idx="24">
                  <c:v>8.8214239383550108</c:v>
                </c:pt>
                <c:pt idx="25">
                  <c:v>4.3650726803943023</c:v>
                </c:pt>
                <c:pt idx="26">
                  <c:v>-5.4086023888160666</c:v>
                </c:pt>
                <c:pt idx="27">
                  <c:v>0.76189647520618076</c:v>
                </c:pt>
                <c:pt idx="28">
                  <c:v>-9.3562000947730812</c:v>
                </c:pt>
                <c:pt idx="29">
                  <c:v>-0.91428907168812024</c:v>
                </c:pt>
                <c:pt idx="30">
                  <c:v>-4.7469358081965316</c:v>
                </c:pt>
                <c:pt idx="31">
                  <c:v>0.30532710929417234</c:v>
                </c:pt>
                <c:pt idx="32">
                  <c:v>1.4410092163437895</c:v>
                </c:pt>
                <c:pt idx="33">
                  <c:v>2.2954908873345485</c:v>
                </c:pt>
                <c:pt idx="34">
                  <c:v>-0.74213657121039223</c:v>
                </c:pt>
                <c:pt idx="35">
                  <c:v>0.82485436645148258</c:v>
                </c:pt>
                <c:pt idx="36">
                  <c:v>2.5037898432885028</c:v>
                </c:pt>
                <c:pt idx="37">
                  <c:v>6.6877480632147046</c:v>
                </c:pt>
                <c:pt idx="38">
                  <c:v>0.85762977335035528</c:v>
                </c:pt>
                <c:pt idx="39">
                  <c:v>6.0515216004416311E-4</c:v>
                </c:pt>
                <c:pt idx="40">
                  <c:v>1.8582348027188431</c:v>
                </c:pt>
                <c:pt idx="41">
                  <c:v>2.920789577317521</c:v>
                </c:pt>
                <c:pt idx="42">
                  <c:v>-3.7449696163558497</c:v>
                </c:pt>
                <c:pt idx="43">
                  <c:v>-3.6990917059972164</c:v>
                </c:pt>
                <c:pt idx="44">
                  <c:v>-0.32961605636981706</c:v>
                </c:pt>
                <c:pt idx="45">
                  <c:v>-0.22370185378308272</c:v>
                </c:pt>
                <c:pt idx="46">
                  <c:v>0.67704187164115659</c:v>
                </c:pt>
                <c:pt idx="47">
                  <c:v>3.1817506375597118</c:v>
                </c:pt>
                <c:pt idx="48">
                  <c:v>-1.3953588570318223</c:v>
                </c:pt>
                <c:pt idx="49">
                  <c:v>-0.18965813159505118</c:v>
                </c:pt>
                <c:pt idx="50">
                  <c:v>1.5426972317139507</c:v>
                </c:pt>
                <c:pt idx="51">
                  <c:v>0.32434442702779021</c:v>
                </c:pt>
                <c:pt idx="52">
                  <c:v>4.4327531632027632</c:v>
                </c:pt>
                <c:pt idx="53">
                  <c:v>2.0298856516077666</c:v>
                </c:pt>
              </c:numCache>
            </c:numRef>
          </c:val>
          <c:extLst>
            <c:ext xmlns:c16="http://schemas.microsoft.com/office/drawing/2014/chart" uri="{C3380CC4-5D6E-409C-BE32-E72D297353CC}">
              <c16:uniqueId val="{00000000-2825-4FFC-98D8-5334E06E5F28}"/>
            </c:ext>
          </c:extLst>
        </c:ser>
        <c:dLbls>
          <c:showLegendKey val="0"/>
          <c:showVal val="0"/>
          <c:showCatName val="0"/>
          <c:showSerName val="0"/>
          <c:showPercent val="0"/>
          <c:showBubbleSize val="0"/>
        </c:dLbls>
        <c:gapWidth val="10"/>
        <c:overlap val="100"/>
        <c:axId val="431872592"/>
        <c:axId val="431871936"/>
      </c:barChart>
      <c:lineChart>
        <c:grouping val="standard"/>
        <c:varyColors val="0"/>
        <c:ser>
          <c:idx val="1"/>
          <c:order val="1"/>
          <c:tx>
            <c:strRef>
              <c:f>'Figure 9'!$C$3</c:f>
              <c:strCache>
                <c:ptCount val="1"/>
                <c:pt idx="0">
                  <c:v>global deficit</c:v>
                </c:pt>
              </c:strCache>
            </c:strRef>
          </c:tx>
          <c:spPr>
            <a:ln w="28575" cap="rnd">
              <a:solidFill>
                <a:schemeClr val="tx1"/>
              </a:solidFill>
              <a:round/>
            </a:ln>
            <a:effectLst/>
          </c:spPr>
          <c:marker>
            <c:symbol val="none"/>
          </c:marker>
          <c:cat>
            <c:strRef>
              <c:f>'Figure 9'!$A$4:$A$57</c:f>
              <c:strCache>
                <c:ptCount val="54"/>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strCache>
            </c:strRef>
          </c:cat>
          <c:val>
            <c:numRef>
              <c:f>'Figure 9'!$C$4:$C$57</c:f>
              <c:numCache>
                <c:formatCode>0.000</c:formatCode>
                <c:ptCount val="54"/>
                <c:pt idx="0">
                  <c:v>0.3613138928024075</c:v>
                </c:pt>
                <c:pt idx="1">
                  <c:v>0.987351889755823</c:v>
                </c:pt>
                <c:pt idx="2">
                  <c:v>0.78337640084323523</c:v>
                </c:pt>
                <c:pt idx="3">
                  <c:v>3.6496103459517537E-2</c:v>
                </c:pt>
                <c:pt idx="4">
                  <c:v>1.5985920745995439</c:v>
                </c:pt>
                <c:pt idx="5">
                  <c:v>4.6463442237513659</c:v>
                </c:pt>
                <c:pt idx="6">
                  <c:v>3.4483804746657536</c:v>
                </c:pt>
                <c:pt idx="7">
                  <c:v>1.4884562474178105</c:v>
                </c:pt>
                <c:pt idx="8">
                  <c:v>0.92488782231589672</c:v>
                </c:pt>
                <c:pt idx="9">
                  <c:v>2.0753203970370699</c:v>
                </c:pt>
                <c:pt idx="10">
                  <c:v>3.2757121501925579</c:v>
                </c:pt>
                <c:pt idx="11">
                  <c:v>1.436118607515152</c:v>
                </c:pt>
                <c:pt idx="12">
                  <c:v>0.31484864690664921</c:v>
                </c:pt>
                <c:pt idx="13">
                  <c:v>4.5265865912841665</c:v>
                </c:pt>
                <c:pt idx="14">
                  <c:v>0.34036705185693517</c:v>
                </c:pt>
                <c:pt idx="15">
                  <c:v>0.27141826157432664</c:v>
                </c:pt>
                <c:pt idx="16">
                  <c:v>-0.31522096117258358</c:v>
                </c:pt>
                <c:pt idx="17">
                  <c:v>-1.6188823856589221</c:v>
                </c:pt>
                <c:pt idx="18">
                  <c:v>-0.39105873964193472</c:v>
                </c:pt>
                <c:pt idx="19">
                  <c:v>2.998725734357043</c:v>
                </c:pt>
                <c:pt idx="20">
                  <c:v>1.1159826291363382</c:v>
                </c:pt>
                <c:pt idx="21">
                  <c:v>5.2643284437978277</c:v>
                </c:pt>
                <c:pt idx="22">
                  <c:v>7.9750207562674769</c:v>
                </c:pt>
                <c:pt idx="23">
                  <c:v>4.7965811282529272</c:v>
                </c:pt>
                <c:pt idx="24">
                  <c:v>3.1219422971784123</c:v>
                </c:pt>
                <c:pt idx="25">
                  <c:v>1.1496706780571468</c:v>
                </c:pt>
                <c:pt idx="26">
                  <c:v>2.2936929130865535</c:v>
                </c:pt>
                <c:pt idx="27">
                  <c:v>0.40352811541670019</c:v>
                </c:pt>
                <c:pt idx="28">
                  <c:v>-5.1510153905962346</c:v>
                </c:pt>
                <c:pt idx="29">
                  <c:v>-1.8305075787229503</c:v>
                </c:pt>
                <c:pt idx="30">
                  <c:v>-0.19322455434463989</c:v>
                </c:pt>
                <c:pt idx="31">
                  <c:v>-1.5769576859947898</c:v>
                </c:pt>
                <c:pt idx="32">
                  <c:v>-2.8638307173549671</c:v>
                </c:pt>
                <c:pt idx="33">
                  <c:v>-1.0881186050815981</c:v>
                </c:pt>
                <c:pt idx="34">
                  <c:v>-0.95165306882831502</c:v>
                </c:pt>
                <c:pt idx="35">
                  <c:v>0.82047687506990341</c:v>
                </c:pt>
                <c:pt idx="36">
                  <c:v>-1.623705056788332</c:v>
                </c:pt>
                <c:pt idx="37">
                  <c:v>2.9767768409876854</c:v>
                </c:pt>
                <c:pt idx="38">
                  <c:v>2.9896557785467635</c:v>
                </c:pt>
                <c:pt idx="39">
                  <c:v>-0.91643245338288692</c:v>
                </c:pt>
                <c:pt idx="40">
                  <c:v>2.2325506519128764</c:v>
                </c:pt>
                <c:pt idx="41">
                  <c:v>-0.92490258624493649</c:v>
                </c:pt>
                <c:pt idx="42">
                  <c:v>-2.0033953434266101</c:v>
                </c:pt>
                <c:pt idx="43">
                  <c:v>-1.30370362521035</c:v>
                </c:pt>
                <c:pt idx="44">
                  <c:v>-1.990587619658015</c:v>
                </c:pt>
                <c:pt idx="45">
                  <c:v>-1.710205234162379</c:v>
                </c:pt>
                <c:pt idx="46">
                  <c:v>-2.9073278303367718</c:v>
                </c:pt>
                <c:pt idx="47">
                  <c:v>0.47033269491675717</c:v>
                </c:pt>
                <c:pt idx="48">
                  <c:v>-0.77458250747716617</c:v>
                </c:pt>
                <c:pt idx="49">
                  <c:v>-1.2932474096764748</c:v>
                </c:pt>
                <c:pt idx="50">
                  <c:v>1.5984753187422076</c:v>
                </c:pt>
                <c:pt idx="51">
                  <c:v>1.9147828182758442</c:v>
                </c:pt>
                <c:pt idx="52">
                  <c:v>1.4762325994649832</c:v>
                </c:pt>
                <c:pt idx="53">
                  <c:v>0.69075820385094933</c:v>
                </c:pt>
              </c:numCache>
            </c:numRef>
          </c:val>
          <c:smooth val="0"/>
          <c:extLst>
            <c:ext xmlns:c16="http://schemas.microsoft.com/office/drawing/2014/chart" uri="{C3380CC4-5D6E-409C-BE32-E72D297353CC}">
              <c16:uniqueId val="{00000001-2825-4FFC-98D8-5334E06E5F28}"/>
            </c:ext>
          </c:extLst>
        </c:ser>
        <c:ser>
          <c:idx val="2"/>
          <c:order val="2"/>
          <c:tx>
            <c:strRef>
              <c:f>'Figure 9'!$D$3</c:f>
              <c:strCache>
                <c:ptCount val="1"/>
                <c:pt idx="0">
                  <c:v>transfers</c:v>
                </c:pt>
              </c:strCache>
            </c:strRef>
          </c:tx>
          <c:spPr>
            <a:ln w="28575" cap="rnd">
              <a:solidFill>
                <a:schemeClr val="tx1"/>
              </a:solidFill>
              <a:prstDash val="sysDash"/>
              <a:round/>
            </a:ln>
            <a:effectLst/>
          </c:spPr>
          <c:marker>
            <c:symbol val="none"/>
          </c:marker>
          <c:cat>
            <c:strRef>
              <c:f>'Figure 9'!$A$4:$A$57</c:f>
              <c:strCache>
                <c:ptCount val="54"/>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strCache>
            </c:strRef>
          </c:cat>
          <c:val>
            <c:numRef>
              <c:f>'Figure 9'!$D$4:$D$57</c:f>
              <c:numCache>
                <c:formatCode>0.000</c:formatCode>
                <c:ptCount val="54"/>
                <c:pt idx="0">
                  <c:v>-0.5631212570422699</c:v>
                </c:pt>
                <c:pt idx="1">
                  <c:v>0.21850013468675022</c:v>
                </c:pt>
                <c:pt idx="2">
                  <c:v>1.9635449140475363</c:v>
                </c:pt>
                <c:pt idx="3">
                  <c:v>2.8169405510729852</c:v>
                </c:pt>
                <c:pt idx="4">
                  <c:v>0.67486457374772568</c:v>
                </c:pt>
                <c:pt idx="5">
                  <c:v>1.2291969269493692</c:v>
                </c:pt>
                <c:pt idx="6">
                  <c:v>1.1766809877083568</c:v>
                </c:pt>
                <c:pt idx="7">
                  <c:v>0.87808453621597837</c:v>
                </c:pt>
                <c:pt idx="8">
                  <c:v>4.3562641239206465</c:v>
                </c:pt>
                <c:pt idx="9">
                  <c:v>0.19138056049022092</c:v>
                </c:pt>
                <c:pt idx="10">
                  <c:v>-0.65682533190247294</c:v>
                </c:pt>
                <c:pt idx="11">
                  <c:v>-1.7189566156988849</c:v>
                </c:pt>
                <c:pt idx="12">
                  <c:v>-1.0066834478027273</c:v>
                </c:pt>
                <c:pt idx="13">
                  <c:v>-1.1986414122385554</c:v>
                </c:pt>
                <c:pt idx="14">
                  <c:v>7.5805503324217014</c:v>
                </c:pt>
                <c:pt idx="15">
                  <c:v>1.4624297919448417</c:v>
                </c:pt>
                <c:pt idx="16">
                  <c:v>6.2699394147973155</c:v>
                </c:pt>
                <c:pt idx="17">
                  <c:v>0.57015274126009585</c:v>
                </c:pt>
                <c:pt idx="18">
                  <c:v>2.7309864087170266</c:v>
                </c:pt>
                <c:pt idx="19">
                  <c:v>-3.9050483169207904</c:v>
                </c:pt>
                <c:pt idx="20">
                  <c:v>4.6203834007513773</c:v>
                </c:pt>
                <c:pt idx="21">
                  <c:v>8.2127372576584747</c:v>
                </c:pt>
                <c:pt idx="22">
                  <c:v>-0.45452725646842468</c:v>
                </c:pt>
                <c:pt idx="23">
                  <c:v>-2.0182399457379407</c:v>
                </c:pt>
                <c:pt idx="24">
                  <c:v>5.6994816411765985</c:v>
                </c:pt>
                <c:pt idx="25">
                  <c:v>3.2154020023371559</c:v>
                </c:pt>
                <c:pt idx="26">
                  <c:v>-7.7022953019026206</c:v>
                </c:pt>
                <c:pt idx="27">
                  <c:v>0.35836835978948056</c:v>
                </c:pt>
                <c:pt idx="28">
                  <c:v>-4.2051847041768466</c:v>
                </c:pt>
                <c:pt idx="29">
                  <c:v>0.91621850703483021</c:v>
                </c:pt>
                <c:pt idx="30">
                  <c:v>-4.5537112538518913</c:v>
                </c:pt>
                <c:pt idx="31">
                  <c:v>1.8822847952889621</c:v>
                </c:pt>
                <c:pt idx="32">
                  <c:v>4.3048399336987568</c:v>
                </c:pt>
                <c:pt idx="33">
                  <c:v>3.3836094924161468</c:v>
                </c:pt>
                <c:pt idx="34">
                  <c:v>0.20951649761792279</c:v>
                </c:pt>
                <c:pt idx="35">
                  <c:v>4.377491381579203E-3</c:v>
                </c:pt>
                <c:pt idx="36">
                  <c:v>4.1274949000768348</c:v>
                </c:pt>
                <c:pt idx="37">
                  <c:v>3.7109712222270193</c:v>
                </c:pt>
                <c:pt idx="38">
                  <c:v>-2.1320260051964084</c:v>
                </c:pt>
                <c:pt idx="39">
                  <c:v>0.91703760554293112</c:v>
                </c:pt>
                <c:pt idx="40">
                  <c:v>-0.37431584919403321</c:v>
                </c:pt>
                <c:pt idx="41">
                  <c:v>3.845692163562457</c:v>
                </c:pt>
                <c:pt idx="42">
                  <c:v>-1.7415742729292396</c:v>
                </c:pt>
                <c:pt idx="43">
                  <c:v>-2.3953880807868666</c:v>
                </c:pt>
                <c:pt idx="44">
                  <c:v>1.6609715632881981</c:v>
                </c:pt>
                <c:pt idx="45">
                  <c:v>1.4865033803792964</c:v>
                </c:pt>
                <c:pt idx="46">
                  <c:v>3.5843697019779284</c:v>
                </c:pt>
                <c:pt idx="47">
                  <c:v>2.7114179426429548</c:v>
                </c:pt>
                <c:pt idx="48">
                  <c:v>-0.6207763495546561</c:v>
                </c:pt>
                <c:pt idx="49">
                  <c:v>1.1035892780814236</c:v>
                </c:pt>
                <c:pt idx="50">
                  <c:v>-5.5778087028256901E-2</c:v>
                </c:pt>
                <c:pt idx="51">
                  <c:v>-1.590438391248054</c:v>
                </c:pt>
                <c:pt idx="52">
                  <c:v>2.9565205637377798</c:v>
                </c:pt>
                <c:pt idx="53">
                  <c:v>1.3391274477568171</c:v>
                </c:pt>
              </c:numCache>
            </c:numRef>
          </c:val>
          <c:smooth val="0"/>
          <c:extLst>
            <c:ext xmlns:c16="http://schemas.microsoft.com/office/drawing/2014/chart" uri="{C3380CC4-5D6E-409C-BE32-E72D297353CC}">
              <c16:uniqueId val="{00000002-2825-4FFC-98D8-5334E06E5F28}"/>
            </c:ext>
          </c:extLst>
        </c:ser>
        <c:dLbls>
          <c:showLegendKey val="0"/>
          <c:showVal val="0"/>
          <c:showCatName val="0"/>
          <c:showSerName val="0"/>
          <c:showPercent val="0"/>
          <c:showBubbleSize val="0"/>
        </c:dLbls>
        <c:marker val="1"/>
        <c:smooth val="0"/>
        <c:axId val="431872592"/>
        <c:axId val="431871936"/>
      </c:lineChart>
      <c:catAx>
        <c:axId val="43187259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31871936"/>
        <c:crossesAt val="-10"/>
        <c:auto val="1"/>
        <c:lblAlgn val="ctr"/>
        <c:lblOffset val="100"/>
        <c:tickLblSkip val="8"/>
        <c:tickMarkSkip val="8"/>
        <c:noMultiLvlLbl val="0"/>
      </c:catAx>
      <c:valAx>
        <c:axId val="431871936"/>
        <c:scaling>
          <c:orientation val="minMax"/>
          <c:min val="-10"/>
        </c:scaling>
        <c:delete val="0"/>
        <c:axPos val="l"/>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31872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 l="0" r="0" t="0" header="0" footer="0"/>
    <c:pageSetup paperSize="449" orientation="landscape" blackAndWhite="1"/>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7.9897335107993003E-2"/>
          <c:y val="5.1400554097404502E-2"/>
          <c:w val="0.83721345258382995"/>
          <c:h val="0.89719889180519097"/>
        </c:manualLayout>
      </c:layout>
      <c:lineChart>
        <c:grouping val="standard"/>
        <c:varyColors val="0"/>
        <c:ser>
          <c:idx val="0"/>
          <c:order val="0"/>
          <c:tx>
            <c:strRef>
              <c:f>Deficit!$L$3</c:f>
              <c:strCache>
                <c:ptCount val="1"/>
                <c:pt idx="0">
                  <c:v>Non-Financial Public Sector deficit</c:v>
                </c:pt>
              </c:strCache>
            </c:strRef>
          </c:tx>
          <c:marker>
            <c:symbol val="none"/>
          </c:marker>
          <c:cat>
            <c:numRef>
              <c:f>'Budget Constraint'!$A$4:$A$15</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Deficit!$L$7:$L$18</c:f>
              <c:numCache>
                <c:formatCode>0.0%</c:formatCode>
                <c:ptCount val="12"/>
                <c:pt idx="0">
                  <c:v>3.6131389280240752E-3</c:v>
                </c:pt>
                <c:pt idx="1">
                  <c:v>9.8735188975582304E-3</c:v>
                </c:pt>
                <c:pt idx="2">
                  <c:v>7.833764008432352E-3</c:v>
                </c:pt>
                <c:pt idx="3">
                  <c:v>3.6496103459517538E-4</c:v>
                </c:pt>
                <c:pt idx="4">
                  <c:v>1.598592074599544E-2</c:v>
                </c:pt>
                <c:pt idx="5">
                  <c:v>4.6463442237513655E-2</c:v>
                </c:pt>
                <c:pt idx="6">
                  <c:v>3.4483804746657534E-2</c:v>
                </c:pt>
                <c:pt idx="7">
                  <c:v>1.4884562474178104E-2</c:v>
                </c:pt>
                <c:pt idx="8">
                  <c:v>9.2488782231589673E-3</c:v>
                </c:pt>
                <c:pt idx="9">
                  <c:v>2.0753203970370698E-2</c:v>
                </c:pt>
                <c:pt idx="10">
                  <c:v>3.2757121501925578E-2</c:v>
                </c:pt>
                <c:pt idx="11">
                  <c:v>1.436118607515152E-2</c:v>
                </c:pt>
              </c:numCache>
            </c:numRef>
          </c:val>
          <c:smooth val="0"/>
          <c:extLst>
            <c:ext xmlns:c16="http://schemas.microsoft.com/office/drawing/2014/chart" uri="{C3380CC4-5D6E-409C-BE32-E72D297353CC}">
              <c16:uniqueId val="{00000000-0817-4D38-A42A-98341E3F914A}"/>
            </c:ext>
          </c:extLst>
        </c:ser>
        <c:dLbls>
          <c:showLegendKey val="0"/>
          <c:showVal val="0"/>
          <c:showCatName val="0"/>
          <c:showSerName val="0"/>
          <c:showPercent val="0"/>
          <c:showBubbleSize val="0"/>
        </c:dLbls>
        <c:smooth val="0"/>
        <c:axId val="2131445936"/>
        <c:axId val="2131448784"/>
      </c:lineChart>
      <c:catAx>
        <c:axId val="2131445936"/>
        <c:scaling>
          <c:orientation val="minMax"/>
        </c:scaling>
        <c:delete val="0"/>
        <c:axPos val="b"/>
        <c:numFmt formatCode="General" sourceLinked="1"/>
        <c:majorTickMark val="out"/>
        <c:minorTickMark val="none"/>
        <c:tickLblPos val="nextTo"/>
        <c:crossAx val="2131448784"/>
        <c:crosses val="autoZero"/>
        <c:auto val="1"/>
        <c:lblAlgn val="ctr"/>
        <c:lblOffset val="100"/>
        <c:noMultiLvlLbl val="0"/>
      </c:catAx>
      <c:valAx>
        <c:axId val="2131448784"/>
        <c:scaling>
          <c:orientation val="minMax"/>
        </c:scaling>
        <c:delete val="0"/>
        <c:axPos val="l"/>
        <c:majorGridlines>
          <c:spPr>
            <a:ln>
              <a:solidFill>
                <a:schemeClr val="bg1"/>
              </a:solidFill>
            </a:ln>
          </c:spPr>
        </c:majorGridlines>
        <c:numFmt formatCode="0.0%" sourceLinked="1"/>
        <c:majorTickMark val="out"/>
        <c:minorTickMark val="none"/>
        <c:tickLblPos val="nextTo"/>
        <c:crossAx val="2131445936"/>
        <c:crosses val="autoZero"/>
        <c:crossBetween val="between"/>
      </c:valAx>
    </c:plotArea>
    <c:plotVisOnly val="1"/>
    <c:dispBlanksAs val="gap"/>
    <c:showDLblsOverMax val="0"/>
  </c:chart>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24791986196691"/>
          <c:y val="3.3074740580544E-2"/>
          <c:w val="0.83721345258382995"/>
          <c:h val="0.89719889180519097"/>
        </c:manualLayout>
      </c:layout>
      <c:lineChart>
        <c:grouping val="standard"/>
        <c:varyColors val="0"/>
        <c:ser>
          <c:idx val="0"/>
          <c:order val="0"/>
          <c:tx>
            <c:strRef>
              <c:f>Deficit!$L$3</c:f>
              <c:strCache>
                <c:ptCount val="1"/>
                <c:pt idx="0">
                  <c:v>Non-Financial Public Sector deficit</c:v>
                </c:pt>
              </c:strCache>
            </c:strRef>
          </c:tx>
          <c:marker>
            <c:symbol val="none"/>
          </c:marker>
          <c:cat>
            <c:numRef>
              <c:f>Deficit!$B$19:$B$34</c:f>
              <c:numCache>
                <c:formatCode>General</c:formatCode>
                <c:ptCount val="1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numCache>
            </c:numRef>
          </c:cat>
          <c:val>
            <c:numRef>
              <c:f>Deficit!$L$19:$L$34</c:f>
              <c:numCache>
                <c:formatCode>0.0%</c:formatCode>
                <c:ptCount val="16"/>
                <c:pt idx="0">
                  <c:v>3.1484864690664921E-3</c:v>
                </c:pt>
                <c:pt idx="1">
                  <c:v>4.5265865912841666E-2</c:v>
                </c:pt>
                <c:pt idx="2">
                  <c:v>3.4036705185693517E-3</c:v>
                </c:pt>
                <c:pt idx="3">
                  <c:v>2.7141826157432666E-3</c:v>
                </c:pt>
                <c:pt idx="4">
                  <c:v>-3.1522096117258358E-3</c:v>
                </c:pt>
                <c:pt idx="5">
                  <c:v>-1.6188823856589221E-2</c:v>
                </c:pt>
                <c:pt idx="6">
                  <c:v>-3.9105873964193471E-3</c:v>
                </c:pt>
                <c:pt idx="7">
                  <c:v>2.8987257343570428E-2</c:v>
                </c:pt>
                <c:pt idx="8">
                  <c:v>1.0159826291363382E-2</c:v>
                </c:pt>
                <c:pt idx="9">
                  <c:v>4.9643284437978275E-2</c:v>
                </c:pt>
                <c:pt idx="10">
                  <c:v>5.8750207562674774E-2</c:v>
                </c:pt>
                <c:pt idx="11">
                  <c:v>2.1965811282529276E-2</c:v>
                </c:pt>
                <c:pt idx="12">
                  <c:v>1.4219422971784121E-2</c:v>
                </c:pt>
                <c:pt idx="13">
                  <c:v>8.4967067805714683E-3</c:v>
                </c:pt>
                <c:pt idx="14">
                  <c:v>1.3936929130865533E-2</c:v>
                </c:pt>
                <c:pt idx="15">
                  <c:v>3.035281154167002E-3</c:v>
                </c:pt>
              </c:numCache>
            </c:numRef>
          </c:val>
          <c:smooth val="0"/>
          <c:extLst>
            <c:ext xmlns:c16="http://schemas.microsoft.com/office/drawing/2014/chart" uri="{C3380CC4-5D6E-409C-BE32-E72D297353CC}">
              <c16:uniqueId val="{00000000-F1E6-43E0-A945-7EA73640C2BA}"/>
            </c:ext>
          </c:extLst>
        </c:ser>
        <c:dLbls>
          <c:showLegendKey val="0"/>
          <c:showVal val="0"/>
          <c:showCatName val="0"/>
          <c:showSerName val="0"/>
          <c:showPercent val="0"/>
          <c:showBubbleSize val="0"/>
        </c:dLbls>
        <c:smooth val="0"/>
        <c:axId val="2132429440"/>
        <c:axId val="2132432352"/>
      </c:lineChart>
      <c:catAx>
        <c:axId val="2132429440"/>
        <c:scaling>
          <c:orientation val="minMax"/>
        </c:scaling>
        <c:delete val="0"/>
        <c:axPos val="b"/>
        <c:numFmt formatCode="General" sourceLinked="1"/>
        <c:majorTickMark val="out"/>
        <c:minorTickMark val="none"/>
        <c:tickLblPos val="nextTo"/>
        <c:crossAx val="2132432352"/>
        <c:crosses val="autoZero"/>
        <c:auto val="1"/>
        <c:lblAlgn val="ctr"/>
        <c:lblOffset val="100"/>
        <c:noMultiLvlLbl val="0"/>
      </c:catAx>
      <c:valAx>
        <c:axId val="2132432352"/>
        <c:scaling>
          <c:orientation val="minMax"/>
        </c:scaling>
        <c:delete val="0"/>
        <c:axPos val="l"/>
        <c:majorGridlines>
          <c:spPr>
            <a:ln>
              <a:solidFill>
                <a:schemeClr val="bg1"/>
              </a:solidFill>
            </a:ln>
          </c:spPr>
        </c:majorGridlines>
        <c:numFmt formatCode="0.0%" sourceLinked="1"/>
        <c:majorTickMark val="out"/>
        <c:minorTickMark val="none"/>
        <c:tickLblPos val="nextTo"/>
        <c:crossAx val="2132429440"/>
        <c:crosses val="autoZero"/>
        <c:crossBetween val="between"/>
      </c:valAx>
    </c:plotArea>
    <c:plotVisOnly val="1"/>
    <c:dispBlanksAs val="gap"/>
    <c:showDLblsOverMax val="0"/>
  </c:chart>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7.9897335107993003E-2"/>
          <c:y val="5.1400554097404502E-2"/>
          <c:w val="0.89472959272555996"/>
          <c:h val="0.89719889180519097"/>
        </c:manualLayout>
      </c:layout>
      <c:lineChart>
        <c:grouping val="standard"/>
        <c:varyColors val="0"/>
        <c:ser>
          <c:idx val="0"/>
          <c:order val="0"/>
          <c:tx>
            <c:strRef>
              <c:f>Deficit!$L$3</c:f>
              <c:strCache>
                <c:ptCount val="1"/>
                <c:pt idx="0">
                  <c:v>Non-Financial Public Sector deficit</c:v>
                </c:pt>
              </c:strCache>
            </c:strRef>
          </c:tx>
          <c:marker>
            <c:symbol val="none"/>
          </c:marker>
          <c:cat>
            <c:numRef>
              <c:f>Deficit!$B$35:$B$48</c:f>
              <c:numCache>
                <c:formatCode>General</c:formatCode>
                <c:ptCount val="1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numCache>
            </c:numRef>
          </c:cat>
          <c:val>
            <c:numRef>
              <c:f>Deficit!$L$35:$L$48</c:f>
              <c:numCache>
                <c:formatCode>0.0%</c:formatCode>
                <c:ptCount val="14"/>
                <c:pt idx="0">
                  <c:v>-5.151015390596235E-2</c:v>
                </c:pt>
                <c:pt idx="1">
                  <c:v>-1.8305075787229504E-2</c:v>
                </c:pt>
                <c:pt idx="2">
                  <c:v>-1.932245543446399E-3</c:v>
                </c:pt>
                <c:pt idx="3">
                  <c:v>-1.5769576859947898E-2</c:v>
                </c:pt>
                <c:pt idx="4">
                  <c:v>-2.8638307173549669E-2</c:v>
                </c:pt>
                <c:pt idx="5">
                  <c:v>-1.0881186050815981E-2</c:v>
                </c:pt>
                <c:pt idx="6">
                  <c:v>-9.5165306882831497E-3</c:v>
                </c:pt>
                <c:pt idx="7">
                  <c:v>8.2047687506990336E-3</c:v>
                </c:pt>
                <c:pt idx="8">
                  <c:v>-1.623705056788332E-2</c:v>
                </c:pt>
                <c:pt idx="9">
                  <c:v>2.9767768409876855E-2</c:v>
                </c:pt>
                <c:pt idx="10">
                  <c:v>2.9896557785467636E-2</c:v>
                </c:pt>
                <c:pt idx="11">
                  <c:v>-9.1643245338288697E-3</c:v>
                </c:pt>
                <c:pt idx="12">
                  <c:v>2.2325506519128763E-2</c:v>
                </c:pt>
                <c:pt idx="13">
                  <c:v>-9.2490258624493647E-3</c:v>
                </c:pt>
              </c:numCache>
            </c:numRef>
          </c:val>
          <c:smooth val="0"/>
          <c:extLst>
            <c:ext xmlns:c16="http://schemas.microsoft.com/office/drawing/2014/chart" uri="{C3380CC4-5D6E-409C-BE32-E72D297353CC}">
              <c16:uniqueId val="{00000000-58A7-4E75-B3F9-622D52C32113}"/>
            </c:ext>
          </c:extLst>
        </c:ser>
        <c:dLbls>
          <c:showLegendKey val="0"/>
          <c:showVal val="0"/>
          <c:showCatName val="0"/>
          <c:showSerName val="0"/>
          <c:showPercent val="0"/>
          <c:showBubbleSize val="0"/>
        </c:dLbls>
        <c:smooth val="0"/>
        <c:axId val="2132460336"/>
        <c:axId val="2132463248"/>
      </c:lineChart>
      <c:catAx>
        <c:axId val="2132460336"/>
        <c:scaling>
          <c:orientation val="minMax"/>
        </c:scaling>
        <c:delete val="0"/>
        <c:axPos val="b"/>
        <c:numFmt formatCode="General" sourceLinked="1"/>
        <c:majorTickMark val="out"/>
        <c:minorTickMark val="none"/>
        <c:tickLblPos val="nextTo"/>
        <c:crossAx val="2132463248"/>
        <c:crosses val="autoZero"/>
        <c:auto val="1"/>
        <c:lblAlgn val="ctr"/>
        <c:lblOffset val="100"/>
        <c:noMultiLvlLbl val="0"/>
      </c:catAx>
      <c:valAx>
        <c:axId val="2132463248"/>
        <c:scaling>
          <c:orientation val="minMax"/>
        </c:scaling>
        <c:delete val="0"/>
        <c:axPos val="l"/>
        <c:majorGridlines>
          <c:spPr>
            <a:ln>
              <a:solidFill>
                <a:schemeClr val="bg1"/>
              </a:solidFill>
            </a:ln>
          </c:spPr>
        </c:majorGridlines>
        <c:numFmt formatCode="0.0%" sourceLinked="1"/>
        <c:majorTickMark val="out"/>
        <c:minorTickMark val="none"/>
        <c:tickLblPos val="nextTo"/>
        <c:crossAx val="2132460336"/>
        <c:crosses val="autoZero"/>
        <c:crossBetween val="between"/>
      </c:valAx>
    </c:plotArea>
    <c:plotVisOnly val="1"/>
    <c:dispBlanksAs val="gap"/>
    <c:showDLblsOverMax val="0"/>
  </c:chart>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7.9897335107993003E-2"/>
          <c:y val="5.1400554097404502E-2"/>
          <c:w val="0.89472959272555996"/>
          <c:h val="0.89719889180519097"/>
        </c:manualLayout>
      </c:layout>
      <c:lineChart>
        <c:grouping val="standard"/>
        <c:varyColors val="0"/>
        <c:ser>
          <c:idx val="0"/>
          <c:order val="0"/>
          <c:tx>
            <c:strRef>
              <c:f>Deficit!$L$3</c:f>
              <c:strCache>
                <c:ptCount val="1"/>
                <c:pt idx="0">
                  <c:v>Non-Financial Public Sector deficit</c:v>
                </c:pt>
              </c:strCache>
            </c:strRef>
          </c:tx>
          <c:marker>
            <c:symbol val="none"/>
          </c:marker>
          <c:cat>
            <c:numRef>
              <c:f>Deficit!$B$49:$B$59</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Deficit!$L$49:$L$59</c:f>
              <c:numCache>
                <c:formatCode>0.0%</c:formatCode>
                <c:ptCount val="11"/>
                <c:pt idx="0">
                  <c:v>-2.0033953434266102E-2</c:v>
                </c:pt>
                <c:pt idx="1">
                  <c:v>-1.30370362521035E-2</c:v>
                </c:pt>
                <c:pt idx="2">
                  <c:v>-1.9905876196580151E-2</c:v>
                </c:pt>
                <c:pt idx="3">
                  <c:v>-1.7102052341623791E-2</c:v>
                </c:pt>
                <c:pt idx="4">
                  <c:v>-2.9073278303367717E-2</c:v>
                </c:pt>
                <c:pt idx="5">
                  <c:v>4.7033269491675717E-3</c:v>
                </c:pt>
                <c:pt idx="6">
                  <c:v>-7.7458250747716615E-3</c:v>
                </c:pt>
                <c:pt idx="7">
                  <c:v>-1.2932474096764748E-2</c:v>
                </c:pt>
                <c:pt idx="8">
                  <c:v>1.5984753187422075E-2</c:v>
                </c:pt>
                <c:pt idx="9">
                  <c:v>1.9147828182758442E-2</c:v>
                </c:pt>
                <c:pt idx="10">
                  <c:v>1.4762325994649831E-2</c:v>
                </c:pt>
              </c:numCache>
            </c:numRef>
          </c:val>
          <c:smooth val="0"/>
          <c:extLst>
            <c:ext xmlns:c16="http://schemas.microsoft.com/office/drawing/2014/chart" uri="{C3380CC4-5D6E-409C-BE32-E72D297353CC}">
              <c16:uniqueId val="{00000000-BABE-4248-A128-502393102104}"/>
            </c:ext>
          </c:extLst>
        </c:ser>
        <c:dLbls>
          <c:showLegendKey val="0"/>
          <c:showVal val="0"/>
          <c:showCatName val="0"/>
          <c:showSerName val="0"/>
          <c:showPercent val="0"/>
          <c:showBubbleSize val="0"/>
        </c:dLbls>
        <c:smooth val="0"/>
        <c:axId val="2132491584"/>
        <c:axId val="2132494432"/>
      </c:lineChart>
      <c:catAx>
        <c:axId val="2132491584"/>
        <c:scaling>
          <c:orientation val="minMax"/>
        </c:scaling>
        <c:delete val="0"/>
        <c:axPos val="b"/>
        <c:numFmt formatCode="General" sourceLinked="1"/>
        <c:majorTickMark val="out"/>
        <c:minorTickMark val="none"/>
        <c:tickLblPos val="nextTo"/>
        <c:crossAx val="2132494432"/>
        <c:crosses val="autoZero"/>
        <c:auto val="1"/>
        <c:lblAlgn val="ctr"/>
        <c:lblOffset val="100"/>
        <c:noMultiLvlLbl val="0"/>
      </c:catAx>
      <c:valAx>
        <c:axId val="2132494432"/>
        <c:scaling>
          <c:orientation val="minMax"/>
        </c:scaling>
        <c:delete val="0"/>
        <c:axPos val="l"/>
        <c:majorGridlines>
          <c:spPr>
            <a:ln>
              <a:solidFill>
                <a:schemeClr val="bg1"/>
              </a:solidFill>
            </a:ln>
          </c:spPr>
        </c:majorGridlines>
        <c:numFmt formatCode="0.0%" sourceLinked="1"/>
        <c:majorTickMark val="out"/>
        <c:minorTickMark val="none"/>
        <c:tickLblPos val="nextTo"/>
        <c:crossAx val="2132491584"/>
        <c:crosses val="autoZero"/>
        <c:crossBetween val="between"/>
      </c:valAx>
    </c:plotArea>
    <c:plotVisOnly val="1"/>
    <c:dispBlanksAs val="gap"/>
    <c:showDLblsOverMax val="0"/>
  </c:chart>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Deuda externa</a:t>
            </a:r>
          </a:p>
          <a:p>
            <a:pPr>
              <a:defRPr/>
            </a:pPr>
            <a:r>
              <a:rPr lang="es-PY"/>
              <a:t>(millones de USD)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'Base_Budget Constraint'!$A$27:$A$38</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'Base_Budget Constraint'!$F$27:$F$38</c:f>
              <c:numCache>
                <c:formatCode>General</c:formatCode>
                <c:ptCount val="12"/>
                <c:pt idx="0">
                  <c:v>29.193999999999999</c:v>
                </c:pt>
                <c:pt idx="1">
                  <c:v>29.581</c:v>
                </c:pt>
                <c:pt idx="2">
                  <c:v>33.645000000000003</c:v>
                </c:pt>
                <c:pt idx="3">
                  <c:v>41.984999999999999</c:v>
                </c:pt>
                <c:pt idx="4">
                  <c:v>52.198999999999998</c:v>
                </c:pt>
                <c:pt idx="5">
                  <c:v>78.063000000000002</c:v>
                </c:pt>
                <c:pt idx="6">
                  <c:v>100.02</c:v>
                </c:pt>
                <c:pt idx="7">
                  <c:v>121.334</c:v>
                </c:pt>
                <c:pt idx="8">
                  <c:v>146.977</c:v>
                </c:pt>
                <c:pt idx="9">
                  <c:v>165.71299999999999</c:v>
                </c:pt>
                <c:pt idx="10">
                  <c:v>181.43600000000001</c:v>
                </c:pt>
                <c:pt idx="11">
                  <c:v>195.39500000000001</c:v>
                </c:pt>
              </c:numCache>
            </c:numRef>
          </c:val>
          <c:smooth val="0"/>
          <c:extLst>
            <c:ext xmlns:c16="http://schemas.microsoft.com/office/drawing/2014/chart" uri="{C3380CC4-5D6E-409C-BE32-E72D297353CC}">
              <c16:uniqueId val="{00000000-C93F-48E7-9021-F4B9486B56BC}"/>
            </c:ext>
          </c:extLst>
        </c:ser>
        <c:dLbls>
          <c:showLegendKey val="0"/>
          <c:showVal val="0"/>
          <c:showCatName val="0"/>
          <c:showSerName val="0"/>
          <c:showPercent val="0"/>
          <c:showBubbleSize val="0"/>
        </c:dLbls>
        <c:smooth val="0"/>
        <c:axId val="2131429440"/>
        <c:axId val="2131426224"/>
      </c:lineChart>
      <c:catAx>
        <c:axId val="2131429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1426224"/>
        <c:crosses val="autoZero"/>
        <c:auto val="1"/>
        <c:lblAlgn val="ctr"/>
        <c:lblOffset val="100"/>
        <c:noMultiLvlLbl val="0"/>
      </c:catAx>
      <c:valAx>
        <c:axId val="213142622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14294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Deuda externa</a:t>
            </a:r>
          </a:p>
          <a:p>
            <a:pPr>
              <a:defRPr/>
            </a:pPr>
            <a:r>
              <a:rPr lang="es-PY"/>
              <a:t>(millones de USD)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'Base_Budget Constraint'!$A$39:$A$54</c:f>
              <c:numCache>
                <c:formatCode>General</c:formatCode>
                <c:ptCount val="1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numCache>
            </c:numRef>
          </c:cat>
          <c:val>
            <c:numRef>
              <c:f>'Base_Budget Constraint'!$F$39:$F$54</c:f>
              <c:numCache>
                <c:formatCode>General</c:formatCode>
                <c:ptCount val="16"/>
                <c:pt idx="0">
                  <c:v>225.84200000000001</c:v>
                </c:pt>
                <c:pt idx="1">
                  <c:v>267.37400000000002</c:v>
                </c:pt>
                <c:pt idx="2">
                  <c:v>383.41800000000001</c:v>
                </c:pt>
                <c:pt idx="3">
                  <c:v>431.73200000000003</c:v>
                </c:pt>
                <c:pt idx="4">
                  <c:v>561.75300000000004</c:v>
                </c:pt>
                <c:pt idx="5">
                  <c:v>573.96799999999996</c:v>
                </c:pt>
                <c:pt idx="6">
                  <c:v>690.64</c:v>
                </c:pt>
                <c:pt idx="7">
                  <c:v>713.755</c:v>
                </c:pt>
                <c:pt idx="8">
                  <c:v>941.42200000000003</c:v>
                </c:pt>
                <c:pt idx="9">
                  <c:v>1203.787</c:v>
                </c:pt>
                <c:pt idx="10">
                  <c:v>1402.075</c:v>
                </c:pt>
                <c:pt idx="11">
                  <c:v>1522.69</c:v>
                </c:pt>
                <c:pt idx="12">
                  <c:v>1722.432</c:v>
                </c:pt>
                <c:pt idx="13">
                  <c:v>1924.1590000000001</c:v>
                </c:pt>
                <c:pt idx="14">
                  <c:v>1884.646</c:v>
                </c:pt>
                <c:pt idx="15">
                  <c:v>2076.17</c:v>
                </c:pt>
              </c:numCache>
            </c:numRef>
          </c:val>
          <c:smooth val="0"/>
          <c:extLst>
            <c:ext xmlns:c16="http://schemas.microsoft.com/office/drawing/2014/chart" uri="{C3380CC4-5D6E-409C-BE32-E72D297353CC}">
              <c16:uniqueId val="{00000000-C7F9-4F8B-88A9-1A2C39B0EAC0}"/>
            </c:ext>
          </c:extLst>
        </c:ser>
        <c:dLbls>
          <c:showLegendKey val="0"/>
          <c:showVal val="0"/>
          <c:showCatName val="0"/>
          <c:showSerName val="0"/>
          <c:showPercent val="0"/>
          <c:showBubbleSize val="0"/>
        </c:dLbls>
        <c:smooth val="0"/>
        <c:axId val="2131508752"/>
        <c:axId val="2131512080"/>
      </c:lineChart>
      <c:catAx>
        <c:axId val="2131508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1512080"/>
        <c:crosses val="autoZero"/>
        <c:auto val="1"/>
        <c:lblAlgn val="ctr"/>
        <c:lblOffset val="100"/>
        <c:noMultiLvlLbl val="0"/>
      </c:catAx>
      <c:valAx>
        <c:axId val="213151208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15087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Deuda externa</a:t>
            </a:r>
          </a:p>
          <a:p>
            <a:pPr>
              <a:defRPr/>
            </a:pPr>
            <a:r>
              <a:rPr lang="es-PY"/>
              <a:t>(millones de USD)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'Base_Budget Constraint'!$A$55:$A$68</c:f>
              <c:numCache>
                <c:formatCode>General</c:formatCode>
                <c:ptCount val="1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numCache>
            </c:numRef>
          </c:cat>
          <c:val>
            <c:numRef>
              <c:f>'Base_Budget Constraint'!$F$55:$F$68</c:f>
              <c:numCache>
                <c:formatCode>General</c:formatCode>
                <c:ptCount val="14"/>
                <c:pt idx="0">
                  <c:v>1669.8789999999999</c:v>
                </c:pt>
                <c:pt idx="1">
                  <c:v>1636.72</c:v>
                </c:pt>
                <c:pt idx="2">
                  <c:v>1248.807</c:v>
                </c:pt>
                <c:pt idx="3">
                  <c:v>1217.4939999999999</c:v>
                </c:pt>
                <c:pt idx="4">
                  <c:v>1240.2619999999999</c:v>
                </c:pt>
                <c:pt idx="5">
                  <c:v>1406.789</c:v>
                </c:pt>
                <c:pt idx="6">
                  <c:v>1398.865</c:v>
                </c:pt>
                <c:pt idx="7">
                  <c:v>1444.3050000000001</c:v>
                </c:pt>
                <c:pt idx="8">
                  <c:v>1599.3810000000001</c:v>
                </c:pt>
                <c:pt idx="9">
                  <c:v>2111.4670000000001</c:v>
                </c:pt>
                <c:pt idx="10">
                  <c:v>2234.3220000000001</c:v>
                </c:pt>
                <c:pt idx="11">
                  <c:v>2162.4070000000002</c:v>
                </c:pt>
                <c:pt idx="12">
                  <c:v>2283.0509999999999</c:v>
                </c:pt>
                <c:pt idx="13">
                  <c:v>2477.5729999999999</c:v>
                </c:pt>
              </c:numCache>
            </c:numRef>
          </c:val>
          <c:smooth val="0"/>
          <c:extLst>
            <c:ext xmlns:c16="http://schemas.microsoft.com/office/drawing/2014/chart" uri="{C3380CC4-5D6E-409C-BE32-E72D297353CC}">
              <c16:uniqueId val="{00000000-31D6-4677-A8C4-5A39EE4806B7}"/>
            </c:ext>
          </c:extLst>
        </c:ser>
        <c:dLbls>
          <c:showLegendKey val="0"/>
          <c:showVal val="0"/>
          <c:showCatName val="0"/>
          <c:showSerName val="0"/>
          <c:showPercent val="0"/>
          <c:showBubbleSize val="0"/>
        </c:dLbls>
        <c:smooth val="0"/>
        <c:axId val="2132544160"/>
        <c:axId val="2132547488"/>
      </c:lineChart>
      <c:catAx>
        <c:axId val="2132544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2547488"/>
        <c:crosses val="autoZero"/>
        <c:auto val="1"/>
        <c:lblAlgn val="ctr"/>
        <c:lblOffset val="100"/>
        <c:noMultiLvlLbl val="0"/>
      </c:catAx>
      <c:valAx>
        <c:axId val="213254748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25441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Deuda externa</a:t>
            </a:r>
          </a:p>
          <a:p>
            <a:pPr>
              <a:defRPr/>
            </a:pPr>
            <a:r>
              <a:rPr lang="es-PY"/>
              <a:t>(millones de USD)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'Base_Budget Constraint'!$A$69:$A$79</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'Base_Budget Constraint'!$F$69:$F$79</c:f>
              <c:numCache>
                <c:formatCode>General</c:formatCode>
                <c:ptCount val="11"/>
                <c:pt idx="0">
                  <c:v>2390.6869999999999</c:v>
                </c:pt>
                <c:pt idx="1">
                  <c:v>2271.1390000000001</c:v>
                </c:pt>
                <c:pt idx="2">
                  <c:v>2230.0569999999998</c:v>
                </c:pt>
                <c:pt idx="3">
                  <c:v>2205.33</c:v>
                </c:pt>
                <c:pt idx="4">
                  <c:v>2234.1979999999999</c:v>
                </c:pt>
                <c:pt idx="5">
                  <c:v>2236.8530000000001</c:v>
                </c:pt>
                <c:pt idx="6">
                  <c:v>2335.4250000000002</c:v>
                </c:pt>
                <c:pt idx="7">
                  <c:v>2284.723</c:v>
                </c:pt>
                <c:pt idx="8">
                  <c:v>2241.06</c:v>
                </c:pt>
                <c:pt idx="9">
                  <c:v>2676.9250000000002</c:v>
                </c:pt>
                <c:pt idx="10" formatCode="0.0000">
                  <c:v>3679.598</c:v>
                </c:pt>
              </c:numCache>
            </c:numRef>
          </c:val>
          <c:smooth val="0"/>
          <c:extLst>
            <c:ext xmlns:c16="http://schemas.microsoft.com/office/drawing/2014/chart" uri="{C3380CC4-5D6E-409C-BE32-E72D297353CC}">
              <c16:uniqueId val="{00000000-68F4-4255-8AFA-8E3094066307}"/>
            </c:ext>
          </c:extLst>
        </c:ser>
        <c:dLbls>
          <c:showLegendKey val="0"/>
          <c:showVal val="0"/>
          <c:showCatName val="0"/>
          <c:showSerName val="0"/>
          <c:showPercent val="0"/>
          <c:showBubbleSize val="0"/>
        </c:dLbls>
        <c:smooth val="0"/>
        <c:axId val="2132586624"/>
        <c:axId val="2132590000"/>
      </c:lineChart>
      <c:catAx>
        <c:axId val="2132586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2590000"/>
        <c:crosses val="autoZero"/>
        <c:auto val="1"/>
        <c:lblAlgn val="ctr"/>
        <c:lblOffset val="100"/>
        <c:noMultiLvlLbl val="0"/>
      </c:catAx>
      <c:valAx>
        <c:axId val="213259000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25866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Deuda externa </a:t>
            </a:r>
            <a:endParaRPr lang="es-PY" baseline="0"/>
          </a:p>
          <a:p>
            <a:pPr>
              <a:defRPr/>
            </a:pPr>
            <a:r>
              <a:rPr lang="es-PY" baseline="0"/>
              <a:t>%  del PIB</a:t>
            </a:r>
            <a:endParaRPr lang="es-PY"/>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Deuda externa ajustada por TCR</c:v>
          </c:tx>
          <c:spPr>
            <a:ln w="28575" cap="rnd">
              <a:solidFill>
                <a:schemeClr val="accent1"/>
              </a:solidFill>
              <a:round/>
            </a:ln>
            <a:effectLst/>
          </c:spPr>
          <c:marker>
            <c:symbol val="none"/>
          </c:marker>
          <c:cat>
            <c:numRef>
              <c:f>'Base_Budget Constraint'!$A$27:$A$38</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'Base_Budget Constraint'!$O$27:$O$38</c:f>
              <c:numCache>
                <c:formatCode>0.0%</c:formatCode>
                <c:ptCount val="12"/>
                <c:pt idx="0">
                  <c:v>0.11179543037153788</c:v>
                </c:pt>
                <c:pt idx="1">
                  <c:v>0.10643121895973796</c:v>
                </c:pt>
                <c:pt idx="2">
                  <c:v>0.11504318125431383</c:v>
                </c:pt>
                <c:pt idx="3">
                  <c:v>0.13266869237712736</c:v>
                </c:pt>
                <c:pt idx="4">
                  <c:v>0.15631609708300581</c:v>
                </c:pt>
                <c:pt idx="5">
                  <c:v>0.20785369817070204</c:v>
                </c:pt>
                <c:pt idx="6">
                  <c:v>0.24329989476608241</c:v>
                </c:pt>
                <c:pt idx="7">
                  <c:v>0.26544413327101574</c:v>
                </c:pt>
                <c:pt idx="8">
                  <c:v>0.28855322987009796</c:v>
                </c:pt>
                <c:pt idx="9">
                  <c:v>0.29851413897691731</c:v>
                </c:pt>
                <c:pt idx="10">
                  <c:v>0.29641487036880049</c:v>
                </c:pt>
                <c:pt idx="11">
                  <c:v>0.27366913427635026</c:v>
                </c:pt>
              </c:numCache>
            </c:numRef>
          </c:val>
          <c:smooth val="0"/>
          <c:extLst>
            <c:ext xmlns:c16="http://schemas.microsoft.com/office/drawing/2014/chart" uri="{C3380CC4-5D6E-409C-BE32-E72D297353CC}">
              <c16:uniqueId val="{00000000-E110-441D-AFB0-044371BB30FB}"/>
            </c:ext>
          </c:extLst>
        </c:ser>
        <c:ser>
          <c:idx val="1"/>
          <c:order val="1"/>
          <c:tx>
            <c:v>Deuda externa</c:v>
          </c:tx>
          <c:spPr>
            <a:ln w="28575" cap="rnd">
              <a:solidFill>
                <a:schemeClr val="accent2"/>
              </a:solidFill>
              <a:round/>
            </a:ln>
            <a:effectLst/>
          </c:spPr>
          <c:marker>
            <c:symbol val="none"/>
          </c:marker>
          <c:cat>
            <c:numRef>
              <c:f>'Base_Budget Constraint'!$A$27:$A$38</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'Base_Budget Constraint'!$Q$27:$Q$38</c:f>
              <c:numCache>
                <c:formatCode>0.0%</c:formatCode>
                <c:ptCount val="12"/>
                <c:pt idx="0">
                  <c:v>9.0045590860139288E-2</c:v>
                </c:pt>
                <c:pt idx="1">
                  <c:v>8.5802375556289237E-2</c:v>
                </c:pt>
                <c:pt idx="2">
                  <c:v>9.1586984964222476E-2</c:v>
                </c:pt>
                <c:pt idx="3">
                  <c:v>0.10492847927838704</c:v>
                </c:pt>
                <c:pt idx="4">
                  <c:v>0.12378218001477188</c:v>
                </c:pt>
                <c:pt idx="5">
                  <c:v>0.17288777223075041</c:v>
                </c:pt>
                <c:pt idx="6">
                  <c:v>0.20968003425448536</c:v>
                </c:pt>
                <c:pt idx="7">
                  <c:v>0.2366435538773736</c:v>
                </c:pt>
                <c:pt idx="8">
                  <c:v>0.26783568287765397</c:v>
                </c:pt>
                <c:pt idx="9">
                  <c:v>0.27208560648141206</c:v>
                </c:pt>
                <c:pt idx="10">
                  <c:v>0.26020099312013362</c:v>
                </c:pt>
                <c:pt idx="11">
                  <c:v>0.21970365879415479</c:v>
                </c:pt>
              </c:numCache>
            </c:numRef>
          </c:val>
          <c:smooth val="0"/>
          <c:extLst>
            <c:ext xmlns:c16="http://schemas.microsoft.com/office/drawing/2014/chart" uri="{C3380CC4-5D6E-409C-BE32-E72D297353CC}">
              <c16:uniqueId val="{00000001-E110-441D-AFB0-044371BB30FB}"/>
            </c:ext>
          </c:extLst>
        </c:ser>
        <c:dLbls>
          <c:showLegendKey val="0"/>
          <c:showVal val="0"/>
          <c:showCatName val="0"/>
          <c:showSerName val="0"/>
          <c:showPercent val="0"/>
          <c:showBubbleSize val="0"/>
        </c:dLbls>
        <c:smooth val="0"/>
        <c:axId val="2132628416"/>
        <c:axId val="2132631808"/>
      </c:lineChart>
      <c:catAx>
        <c:axId val="2132628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2631808"/>
        <c:crosses val="autoZero"/>
        <c:auto val="1"/>
        <c:lblAlgn val="ctr"/>
        <c:lblOffset val="100"/>
        <c:noMultiLvlLbl val="0"/>
      </c:catAx>
      <c:valAx>
        <c:axId val="213263180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2628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Deuda externa </a:t>
            </a:r>
            <a:endParaRPr lang="es-PY" baseline="0"/>
          </a:p>
          <a:p>
            <a:pPr>
              <a:defRPr/>
            </a:pPr>
            <a:r>
              <a:rPr lang="es-PY" baseline="0"/>
              <a:t>%  del PIB</a:t>
            </a:r>
            <a:endParaRPr lang="es-PY"/>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Deuda externa ajustada por TCR</c:v>
          </c:tx>
          <c:spPr>
            <a:ln w="28575" cap="rnd">
              <a:solidFill>
                <a:schemeClr val="accent1"/>
              </a:solidFill>
              <a:round/>
            </a:ln>
            <a:effectLst/>
          </c:spPr>
          <c:marker>
            <c:symbol val="none"/>
          </c:marker>
          <c:cat>
            <c:numRef>
              <c:f>'Base_Budget Constraint'!$A$39:$A$54</c:f>
              <c:numCache>
                <c:formatCode>General</c:formatCode>
                <c:ptCount val="1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numCache>
            </c:numRef>
          </c:cat>
          <c:val>
            <c:numRef>
              <c:f>'Base_Budget Constraint'!$O$39:$O$54</c:f>
              <c:numCache>
                <c:formatCode>0.0%</c:formatCode>
                <c:ptCount val="16"/>
                <c:pt idx="0">
                  <c:v>0.25979838178900538</c:v>
                </c:pt>
                <c:pt idx="1">
                  <c:v>0.26917877694477832</c:v>
                </c:pt>
                <c:pt idx="2">
                  <c:v>0.34233464413698944</c:v>
                </c:pt>
                <c:pt idx="3">
                  <c:v>0.32402025843561127</c:v>
                </c:pt>
                <c:pt idx="4">
                  <c:v>0.34520481420853788</c:v>
                </c:pt>
                <c:pt idx="5">
                  <c:v>0.27831029890170611</c:v>
                </c:pt>
                <c:pt idx="6">
                  <c:v>0.26642654884856304</c:v>
                </c:pt>
                <c:pt idx="7">
                  <c:v>0.2315542418810955</c:v>
                </c:pt>
                <c:pt idx="8">
                  <c:v>0.29831737502756295</c:v>
                </c:pt>
                <c:pt idx="9">
                  <c:v>0.37905597454250956</c:v>
                </c:pt>
                <c:pt idx="10">
                  <c:v>0.41308819212337816</c:v>
                </c:pt>
                <c:pt idx="11">
                  <c:v>0.41350313860760757</c:v>
                </c:pt>
                <c:pt idx="12">
                  <c:v>0.44078159680090778</c:v>
                </c:pt>
                <c:pt idx="13">
                  <c:v>0.4382661731665693</c:v>
                </c:pt>
                <c:pt idx="14">
                  <c:v>0.38813834347298137</c:v>
                </c:pt>
                <c:pt idx="15">
                  <c:v>0.38209462700735369</c:v>
                </c:pt>
              </c:numCache>
            </c:numRef>
          </c:val>
          <c:smooth val="0"/>
          <c:extLst>
            <c:ext xmlns:c16="http://schemas.microsoft.com/office/drawing/2014/chart" uri="{C3380CC4-5D6E-409C-BE32-E72D297353CC}">
              <c16:uniqueId val="{00000000-39BF-47D7-89E4-5CE77CDB842C}"/>
            </c:ext>
          </c:extLst>
        </c:ser>
        <c:ser>
          <c:idx val="1"/>
          <c:order val="1"/>
          <c:tx>
            <c:v>Deuda externa</c:v>
          </c:tx>
          <c:spPr>
            <a:ln w="28575" cap="rnd">
              <a:solidFill>
                <a:schemeClr val="accent2"/>
              </a:solidFill>
              <a:round/>
            </a:ln>
            <a:effectLst/>
          </c:spPr>
          <c:marker>
            <c:symbol val="none"/>
          </c:marker>
          <c:cat>
            <c:numRef>
              <c:f>'Base_Budget Constraint'!$A$39:$A$54</c:f>
              <c:numCache>
                <c:formatCode>General</c:formatCode>
                <c:ptCount val="1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numCache>
            </c:numRef>
          </c:cat>
          <c:val>
            <c:numRef>
              <c:f>'Base_Budget Constraint'!$Q$39:$Q$54</c:f>
              <c:numCache>
                <c:formatCode>0.0%</c:formatCode>
                <c:ptCount val="16"/>
                <c:pt idx="0">
                  <c:v>0.18826144279157661</c:v>
                </c:pt>
                <c:pt idx="1">
                  <c:v>0.19777801306077378</c:v>
                </c:pt>
                <c:pt idx="2">
                  <c:v>0.24884018826270005</c:v>
                </c:pt>
                <c:pt idx="3">
                  <c:v>0.22575953458955514</c:v>
                </c:pt>
                <c:pt idx="4">
                  <c:v>0.23901035239206614</c:v>
                </c:pt>
                <c:pt idx="5">
                  <c:v>0.1830766572738341</c:v>
                </c:pt>
                <c:pt idx="6">
                  <c:v>0.16866226214800234</c:v>
                </c:pt>
                <c:pt idx="7">
                  <c:v>0.13674733236143768</c:v>
                </c:pt>
                <c:pt idx="8">
                  <c:v>0.18577825130022704</c:v>
                </c:pt>
                <c:pt idx="9">
                  <c:v>0.22984296031803858</c:v>
                </c:pt>
                <c:pt idx="10">
                  <c:v>0.3451497993970582</c:v>
                </c:pt>
                <c:pt idx="11">
                  <c:v>0.51369059018709695</c:v>
                </c:pt>
                <c:pt idx="12">
                  <c:v>0.50036110925070287</c:v>
                </c:pt>
                <c:pt idx="13">
                  <c:v>0.50926359953858891</c:v>
                </c:pt>
                <c:pt idx="14">
                  <c:v>0.46162592944048003</c:v>
                </c:pt>
                <c:pt idx="15">
                  <c:v>0.47860773497231596</c:v>
                </c:pt>
              </c:numCache>
            </c:numRef>
          </c:val>
          <c:smooth val="0"/>
          <c:extLst>
            <c:ext xmlns:c16="http://schemas.microsoft.com/office/drawing/2014/chart" uri="{C3380CC4-5D6E-409C-BE32-E72D297353CC}">
              <c16:uniqueId val="{00000001-39BF-47D7-89E4-5CE77CDB842C}"/>
            </c:ext>
          </c:extLst>
        </c:ser>
        <c:dLbls>
          <c:showLegendKey val="0"/>
          <c:showVal val="0"/>
          <c:showCatName val="0"/>
          <c:showSerName val="0"/>
          <c:showPercent val="0"/>
          <c:showBubbleSize val="0"/>
        </c:dLbls>
        <c:smooth val="0"/>
        <c:axId val="2132672096"/>
        <c:axId val="2132677760"/>
      </c:lineChart>
      <c:catAx>
        <c:axId val="2132672096"/>
        <c:scaling>
          <c:orientation val="minMax"/>
        </c:scaling>
        <c:delete val="0"/>
        <c:axPos val="b"/>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2677760"/>
        <c:crosses val="autoZero"/>
        <c:auto val="1"/>
        <c:lblAlgn val="ctr"/>
        <c:lblOffset val="100"/>
        <c:noMultiLvlLbl val="0"/>
      </c:catAx>
      <c:valAx>
        <c:axId val="2132677760"/>
        <c:scaling>
          <c:orientation val="minMax"/>
        </c:scaling>
        <c:delete val="0"/>
        <c:axPos val="l"/>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267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13'!$B$3</c:f>
              <c:strCache>
                <c:ptCount val="1"/>
                <c:pt idx="0">
                  <c:v>imports of the central government</c:v>
                </c:pt>
              </c:strCache>
            </c:strRef>
          </c:tx>
          <c:spPr>
            <a:solidFill>
              <a:schemeClr val="bg1">
                <a:lumMod val="50000"/>
              </a:schemeClr>
            </a:solidFill>
            <a:ln>
              <a:noFill/>
            </a:ln>
            <a:effectLst/>
          </c:spPr>
          <c:invertIfNegative val="0"/>
          <c:cat>
            <c:strRef>
              <c:f>'Figure 13'!$A$4:$A$10</c:f>
              <c:strCache>
                <c:ptCount val="7"/>
                <c:pt idx="0">
                  <c:v>1982</c:v>
                </c:pt>
                <c:pt idx="1">
                  <c:v>1983</c:v>
                </c:pt>
                <c:pt idx="2">
                  <c:v>1984</c:v>
                </c:pt>
                <c:pt idx="3">
                  <c:v>1985</c:v>
                </c:pt>
                <c:pt idx="4">
                  <c:v>1986</c:v>
                </c:pt>
                <c:pt idx="5">
                  <c:v>1987</c:v>
                </c:pt>
                <c:pt idx="6">
                  <c:v>1988</c:v>
                </c:pt>
              </c:strCache>
            </c:strRef>
          </c:cat>
          <c:val>
            <c:numRef>
              <c:f>'Figure 13'!$B$4:$B$10</c:f>
              <c:numCache>
                <c:formatCode>0</c:formatCode>
                <c:ptCount val="7"/>
                <c:pt idx="0">
                  <c:v>126</c:v>
                </c:pt>
                <c:pt idx="1">
                  <c:v>126</c:v>
                </c:pt>
                <c:pt idx="2">
                  <c:v>160</c:v>
                </c:pt>
                <c:pt idx="3">
                  <c:v>240</c:v>
                </c:pt>
                <c:pt idx="4">
                  <c:v>240</c:v>
                </c:pt>
                <c:pt idx="5">
                  <c:v>400</c:v>
                </c:pt>
                <c:pt idx="6">
                  <c:v>400</c:v>
                </c:pt>
              </c:numCache>
            </c:numRef>
          </c:val>
          <c:extLst>
            <c:ext xmlns:c16="http://schemas.microsoft.com/office/drawing/2014/chart" uri="{C3380CC4-5D6E-409C-BE32-E72D297353CC}">
              <c16:uniqueId val="{00000000-5B14-45DC-9370-8B8A73C5219C}"/>
            </c:ext>
          </c:extLst>
        </c:ser>
        <c:ser>
          <c:idx val="1"/>
          <c:order val="1"/>
          <c:tx>
            <c:strRef>
              <c:f>'Figure 13'!$C$3</c:f>
              <c:strCache>
                <c:ptCount val="1"/>
                <c:pt idx="0">
                  <c:v>imports of oil and derivatives</c:v>
                </c:pt>
              </c:strCache>
            </c:strRef>
          </c:tx>
          <c:spPr>
            <a:pattFill prst="pct70">
              <a:fgClr>
                <a:schemeClr val="tx1"/>
              </a:fgClr>
              <a:bgClr>
                <a:schemeClr val="bg1"/>
              </a:bgClr>
            </a:pattFill>
            <a:ln>
              <a:noFill/>
            </a:ln>
            <a:effectLst/>
          </c:spPr>
          <c:invertIfNegative val="0"/>
          <c:cat>
            <c:strRef>
              <c:f>'Figure 13'!$A$4:$A$10</c:f>
              <c:strCache>
                <c:ptCount val="7"/>
                <c:pt idx="0">
                  <c:v>1982</c:v>
                </c:pt>
                <c:pt idx="1">
                  <c:v>1983</c:v>
                </c:pt>
                <c:pt idx="2">
                  <c:v>1984</c:v>
                </c:pt>
                <c:pt idx="3">
                  <c:v>1985</c:v>
                </c:pt>
                <c:pt idx="4">
                  <c:v>1986</c:v>
                </c:pt>
                <c:pt idx="5">
                  <c:v>1987</c:v>
                </c:pt>
                <c:pt idx="6">
                  <c:v>1988</c:v>
                </c:pt>
              </c:strCache>
            </c:strRef>
          </c:cat>
          <c:val>
            <c:numRef>
              <c:f>'Figure 13'!$C$4:$C$10</c:f>
              <c:numCache>
                <c:formatCode>0</c:formatCode>
                <c:ptCount val="7"/>
                <c:pt idx="0">
                  <c:v>126</c:v>
                </c:pt>
                <c:pt idx="1">
                  <c:v>143</c:v>
                </c:pt>
                <c:pt idx="2">
                  <c:v>240</c:v>
                </c:pt>
                <c:pt idx="3">
                  <c:v>160</c:v>
                </c:pt>
                <c:pt idx="4">
                  <c:v>240</c:v>
                </c:pt>
                <c:pt idx="5">
                  <c:v>400</c:v>
                </c:pt>
                <c:pt idx="6">
                  <c:v>400</c:v>
                </c:pt>
              </c:numCache>
            </c:numRef>
          </c:val>
          <c:extLst>
            <c:ext xmlns:c16="http://schemas.microsoft.com/office/drawing/2014/chart" uri="{C3380CC4-5D6E-409C-BE32-E72D297353CC}">
              <c16:uniqueId val="{00000001-5B14-45DC-9370-8B8A73C5219C}"/>
            </c:ext>
          </c:extLst>
        </c:ser>
        <c:ser>
          <c:idx val="2"/>
          <c:order val="2"/>
          <c:tx>
            <c:strRef>
              <c:f>'Figure 13'!$D$3</c:f>
              <c:strCache>
                <c:ptCount val="1"/>
                <c:pt idx="0">
                  <c:v>imports of public companies</c:v>
                </c:pt>
              </c:strCache>
            </c:strRef>
          </c:tx>
          <c:spPr>
            <a:pattFill prst="wdDnDiag">
              <a:fgClr>
                <a:schemeClr val="tx1"/>
              </a:fgClr>
              <a:bgClr>
                <a:schemeClr val="bg1"/>
              </a:bgClr>
            </a:pattFill>
            <a:ln>
              <a:noFill/>
            </a:ln>
            <a:effectLst/>
          </c:spPr>
          <c:invertIfNegative val="0"/>
          <c:cat>
            <c:strRef>
              <c:f>'Figure 13'!$A$4:$A$10</c:f>
              <c:strCache>
                <c:ptCount val="7"/>
                <c:pt idx="0">
                  <c:v>1982</c:v>
                </c:pt>
                <c:pt idx="1">
                  <c:v>1983</c:v>
                </c:pt>
                <c:pt idx="2">
                  <c:v>1984</c:v>
                </c:pt>
                <c:pt idx="3">
                  <c:v>1985</c:v>
                </c:pt>
                <c:pt idx="4">
                  <c:v>1986</c:v>
                </c:pt>
                <c:pt idx="5">
                  <c:v>1987</c:v>
                </c:pt>
                <c:pt idx="6">
                  <c:v>1988</c:v>
                </c:pt>
              </c:strCache>
            </c:strRef>
          </c:cat>
          <c:val>
            <c:numRef>
              <c:f>'Figure 13'!$D$4:$D$10</c:f>
              <c:numCache>
                <c:formatCode>0</c:formatCode>
                <c:ptCount val="7"/>
                <c:pt idx="0">
                  <c:v>126</c:v>
                </c:pt>
                <c:pt idx="1">
                  <c:v>126</c:v>
                </c:pt>
                <c:pt idx="2">
                  <c:v>160</c:v>
                </c:pt>
                <c:pt idx="3">
                  <c:v>240</c:v>
                </c:pt>
                <c:pt idx="4">
                  <c:v>240</c:v>
                </c:pt>
                <c:pt idx="5">
                  <c:v>240</c:v>
                </c:pt>
                <c:pt idx="6">
                  <c:v>400</c:v>
                </c:pt>
              </c:numCache>
            </c:numRef>
          </c:val>
          <c:extLst>
            <c:ext xmlns:c16="http://schemas.microsoft.com/office/drawing/2014/chart" uri="{C3380CC4-5D6E-409C-BE32-E72D297353CC}">
              <c16:uniqueId val="{00000002-5B14-45DC-9370-8B8A73C5219C}"/>
            </c:ext>
          </c:extLst>
        </c:ser>
        <c:ser>
          <c:idx val="3"/>
          <c:order val="3"/>
          <c:tx>
            <c:strRef>
              <c:f>'Figure 13'!$E$3</c:f>
              <c:strCache>
                <c:ptCount val="1"/>
                <c:pt idx="0">
                  <c:v>public debt service</c:v>
                </c:pt>
              </c:strCache>
            </c:strRef>
          </c:tx>
          <c:spPr>
            <a:pattFill prst="ltHorz">
              <a:fgClr>
                <a:schemeClr val="tx1"/>
              </a:fgClr>
              <a:bgClr>
                <a:schemeClr val="bg1"/>
              </a:bgClr>
            </a:pattFill>
            <a:ln>
              <a:noFill/>
            </a:ln>
            <a:effectLst/>
          </c:spPr>
          <c:invertIfNegative val="0"/>
          <c:cat>
            <c:strRef>
              <c:f>'Figure 13'!$A$4:$A$10</c:f>
              <c:strCache>
                <c:ptCount val="7"/>
                <c:pt idx="0">
                  <c:v>1982</c:v>
                </c:pt>
                <c:pt idx="1">
                  <c:v>1983</c:v>
                </c:pt>
                <c:pt idx="2">
                  <c:v>1984</c:v>
                </c:pt>
                <c:pt idx="3">
                  <c:v>1985</c:v>
                </c:pt>
                <c:pt idx="4">
                  <c:v>1986</c:v>
                </c:pt>
                <c:pt idx="5">
                  <c:v>1987</c:v>
                </c:pt>
                <c:pt idx="6">
                  <c:v>1988</c:v>
                </c:pt>
              </c:strCache>
            </c:strRef>
          </c:cat>
          <c:val>
            <c:numRef>
              <c:f>'Figure 13'!$E$4:$E$10</c:f>
              <c:numCache>
                <c:formatCode>0</c:formatCode>
                <c:ptCount val="7"/>
                <c:pt idx="0">
                  <c:v>126</c:v>
                </c:pt>
                <c:pt idx="1">
                  <c:v>126</c:v>
                </c:pt>
                <c:pt idx="2">
                  <c:v>160</c:v>
                </c:pt>
                <c:pt idx="3">
                  <c:v>160</c:v>
                </c:pt>
                <c:pt idx="4">
                  <c:v>200</c:v>
                </c:pt>
                <c:pt idx="5">
                  <c:v>280</c:v>
                </c:pt>
                <c:pt idx="6">
                  <c:v>400</c:v>
                </c:pt>
              </c:numCache>
            </c:numRef>
          </c:val>
          <c:extLst>
            <c:ext xmlns:c16="http://schemas.microsoft.com/office/drawing/2014/chart" uri="{C3380CC4-5D6E-409C-BE32-E72D297353CC}">
              <c16:uniqueId val="{00000003-5B14-45DC-9370-8B8A73C5219C}"/>
            </c:ext>
          </c:extLst>
        </c:ser>
        <c:dLbls>
          <c:showLegendKey val="0"/>
          <c:showVal val="0"/>
          <c:showCatName val="0"/>
          <c:showSerName val="0"/>
          <c:showPercent val="0"/>
          <c:showBubbleSize val="0"/>
        </c:dLbls>
        <c:gapWidth val="219"/>
        <c:axId val="431867344"/>
        <c:axId val="431862096"/>
      </c:barChart>
      <c:lineChart>
        <c:grouping val="standard"/>
        <c:varyColors val="0"/>
        <c:ser>
          <c:idx val="4"/>
          <c:order val="4"/>
          <c:tx>
            <c:strRef>
              <c:f>'Figure 13'!$F$3</c:f>
              <c:strCache>
                <c:ptCount val="1"/>
                <c:pt idx="0">
                  <c:v>market</c:v>
                </c:pt>
              </c:strCache>
            </c:strRef>
          </c:tx>
          <c:spPr>
            <a:ln w="28575" cap="rnd">
              <a:solidFill>
                <a:schemeClr val="tx1"/>
              </a:solidFill>
              <a:round/>
            </a:ln>
            <a:effectLst/>
          </c:spPr>
          <c:marker>
            <c:symbol val="none"/>
          </c:marker>
          <c:cat>
            <c:strRef>
              <c:f>'Figure 13'!$A$4:$A$10</c:f>
              <c:strCache>
                <c:ptCount val="7"/>
                <c:pt idx="0">
                  <c:v>1982</c:v>
                </c:pt>
                <c:pt idx="1">
                  <c:v>1983</c:v>
                </c:pt>
                <c:pt idx="2">
                  <c:v>1984</c:v>
                </c:pt>
                <c:pt idx="3">
                  <c:v>1985</c:v>
                </c:pt>
                <c:pt idx="4">
                  <c:v>1986</c:v>
                </c:pt>
                <c:pt idx="5">
                  <c:v>1987</c:v>
                </c:pt>
                <c:pt idx="6">
                  <c:v>1988</c:v>
                </c:pt>
              </c:strCache>
            </c:strRef>
          </c:cat>
          <c:val>
            <c:numRef>
              <c:f>'Figure 13'!$F$4:$F$10</c:f>
              <c:numCache>
                <c:formatCode>0</c:formatCode>
                <c:ptCount val="7"/>
                <c:pt idx="0">
                  <c:v>205.66666666666666</c:v>
                </c:pt>
                <c:pt idx="1">
                  <c:v>320.75</c:v>
                </c:pt>
                <c:pt idx="2">
                  <c:v>388.25</c:v>
                </c:pt>
                <c:pt idx="3">
                  <c:v>612.5</c:v>
                </c:pt>
                <c:pt idx="4">
                  <c:v>702.5</c:v>
                </c:pt>
                <c:pt idx="5">
                  <c:v>807.25</c:v>
                </c:pt>
                <c:pt idx="6">
                  <c:v>807.25</c:v>
                </c:pt>
              </c:numCache>
            </c:numRef>
          </c:val>
          <c:smooth val="0"/>
          <c:extLst>
            <c:ext xmlns:c16="http://schemas.microsoft.com/office/drawing/2014/chart" uri="{C3380CC4-5D6E-409C-BE32-E72D297353CC}">
              <c16:uniqueId val="{00000004-5B14-45DC-9370-8B8A73C5219C}"/>
            </c:ext>
          </c:extLst>
        </c:ser>
        <c:dLbls>
          <c:showLegendKey val="0"/>
          <c:showVal val="0"/>
          <c:showCatName val="0"/>
          <c:showSerName val="0"/>
          <c:showPercent val="0"/>
          <c:showBubbleSize val="0"/>
        </c:dLbls>
        <c:marker val="1"/>
        <c:smooth val="0"/>
        <c:axId val="431867344"/>
        <c:axId val="431862096"/>
      </c:lineChart>
      <c:catAx>
        <c:axId val="431867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31862096"/>
        <c:crosses val="autoZero"/>
        <c:auto val="1"/>
        <c:lblAlgn val="ctr"/>
        <c:lblOffset val="100"/>
        <c:noMultiLvlLbl val="0"/>
      </c:catAx>
      <c:valAx>
        <c:axId val="43186209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31867344"/>
        <c:crosses val="autoZero"/>
        <c:crossBetween val="between"/>
      </c:valAx>
      <c:spPr>
        <a:noFill/>
        <a:ln>
          <a:noFill/>
        </a:ln>
        <a:effectLst/>
      </c:spPr>
    </c:plotArea>
    <c:legend>
      <c:legendPos val="l"/>
      <c:layout>
        <c:manualLayout>
          <c:xMode val="edge"/>
          <c:yMode val="edge"/>
          <c:x val="9.8777777777777784E-2"/>
          <c:y val="5.2899691358024685E-2"/>
          <c:w val="0.48527092592592591"/>
          <c:h val="0.42774999999999991"/>
        </c:manualLayout>
      </c:layout>
      <c:overlay val="1"/>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 l="0" r="0" t="0" header="0" footer="0"/>
    <c:pageSetup paperSize="449" orientation="landscape" blackAndWhite="1"/>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Deuda externa </a:t>
            </a:r>
            <a:endParaRPr lang="es-PY" baseline="0"/>
          </a:p>
          <a:p>
            <a:pPr>
              <a:defRPr/>
            </a:pPr>
            <a:r>
              <a:rPr lang="es-PY" baseline="0"/>
              <a:t>%  del PIB</a:t>
            </a:r>
            <a:endParaRPr lang="es-PY"/>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0704692159226801E-2"/>
          <c:y val="0.15535483870967701"/>
          <c:w val="0.93921339227681599"/>
          <c:h val="0.71253509440352203"/>
        </c:manualLayout>
      </c:layout>
      <c:lineChart>
        <c:grouping val="standard"/>
        <c:varyColors val="0"/>
        <c:ser>
          <c:idx val="0"/>
          <c:order val="0"/>
          <c:tx>
            <c:v>Deuda externa ajustada por TCR</c:v>
          </c:tx>
          <c:spPr>
            <a:ln w="28575" cap="rnd">
              <a:solidFill>
                <a:schemeClr val="accent1"/>
              </a:solidFill>
              <a:round/>
            </a:ln>
            <a:effectLst/>
          </c:spPr>
          <c:marker>
            <c:symbol val="none"/>
          </c:marker>
          <c:cat>
            <c:numRef>
              <c:f>'Base_Budget Constraint'!$A$55:$A$68</c:f>
              <c:numCache>
                <c:formatCode>General</c:formatCode>
                <c:ptCount val="1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numCache>
            </c:numRef>
          </c:cat>
          <c:val>
            <c:numRef>
              <c:f>'Base_Budget Constraint'!$O$55:$O$68</c:f>
              <c:numCache>
                <c:formatCode>0.0%</c:formatCode>
                <c:ptCount val="14"/>
                <c:pt idx="0">
                  <c:v>0.27816606264452742</c:v>
                </c:pt>
                <c:pt idx="1">
                  <c:v>0.25560636967182987</c:v>
                </c:pt>
                <c:pt idx="2">
                  <c:v>0.18636689901013653</c:v>
                </c:pt>
                <c:pt idx="3">
                  <c:v>0.16851523199413729</c:v>
                </c:pt>
                <c:pt idx="4">
                  <c:v>0.15875200924339056</c:v>
                </c:pt>
                <c:pt idx="5">
                  <c:v>0.1643933244380163</c:v>
                </c:pt>
                <c:pt idx="6">
                  <c:v>0.1557595122463592</c:v>
                </c:pt>
                <c:pt idx="7">
                  <c:v>0.15169163043744655</c:v>
                </c:pt>
                <c:pt idx="8">
                  <c:v>0.16520175897713671</c:v>
                </c:pt>
                <c:pt idx="9">
                  <c:v>0.21533547151908716</c:v>
                </c:pt>
                <c:pt idx="10">
                  <c:v>0.2256213560450899</c:v>
                </c:pt>
                <c:pt idx="11">
                  <c:v>0.21683132546583506</c:v>
                </c:pt>
                <c:pt idx="12">
                  <c:v>0.22366145707722368</c:v>
                </c:pt>
                <c:pt idx="13">
                  <c:v>0.22837288905867636</c:v>
                </c:pt>
              </c:numCache>
            </c:numRef>
          </c:val>
          <c:smooth val="0"/>
          <c:extLst>
            <c:ext xmlns:c16="http://schemas.microsoft.com/office/drawing/2014/chart" uri="{C3380CC4-5D6E-409C-BE32-E72D297353CC}">
              <c16:uniqueId val="{00000000-B70F-4A33-82C9-ADEE55CF8FAD}"/>
            </c:ext>
          </c:extLst>
        </c:ser>
        <c:ser>
          <c:idx val="1"/>
          <c:order val="1"/>
          <c:tx>
            <c:v>Deuda externa</c:v>
          </c:tx>
          <c:spPr>
            <a:ln w="28575" cap="rnd">
              <a:solidFill>
                <a:schemeClr val="accent2"/>
              </a:solidFill>
              <a:round/>
            </a:ln>
            <a:effectLst/>
          </c:spPr>
          <c:marker>
            <c:symbol val="none"/>
          </c:marker>
          <c:cat>
            <c:numRef>
              <c:f>'Base_Budget Constraint'!$A$55:$A$68</c:f>
              <c:numCache>
                <c:formatCode>General</c:formatCode>
                <c:ptCount val="1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numCache>
            </c:numRef>
          </c:cat>
          <c:val>
            <c:numRef>
              <c:f>'Base_Budget Constraint'!$Q$55:$Q$68</c:f>
              <c:numCache>
                <c:formatCode>0.0%</c:formatCode>
                <c:ptCount val="14"/>
                <c:pt idx="0">
                  <c:v>0.29198447196207333</c:v>
                </c:pt>
                <c:pt idx="1">
                  <c:v>0.2337897758688964</c:v>
                </c:pt>
                <c:pt idx="2">
                  <c:v>0.17395378224256716</c:v>
                </c:pt>
                <c:pt idx="3">
                  <c:v>0.16741981511297016</c:v>
                </c:pt>
                <c:pt idx="4">
                  <c:v>0.15748622600484707</c:v>
                </c:pt>
                <c:pt idx="5">
                  <c:v>0.15507374620552267</c:v>
                </c:pt>
                <c:pt idx="6">
                  <c:v>0.14279920359813636</c:v>
                </c:pt>
                <c:pt idx="7">
                  <c:v>0.14501116993991278</c:v>
                </c:pt>
                <c:pt idx="8">
                  <c:v>0.17726254836591379</c:v>
                </c:pt>
                <c:pt idx="9">
                  <c:v>0.25158049511129421</c:v>
                </c:pt>
                <c:pt idx="10">
                  <c:v>0.27224043735645609</c:v>
                </c:pt>
                <c:pt idx="11">
                  <c:v>0.28221926141869502</c:v>
                </c:pt>
                <c:pt idx="12">
                  <c:v>0.36088991669396292</c:v>
                </c:pt>
                <c:pt idx="13">
                  <c:v>0.37605845652198705</c:v>
                </c:pt>
              </c:numCache>
            </c:numRef>
          </c:val>
          <c:smooth val="0"/>
          <c:extLst>
            <c:ext xmlns:c16="http://schemas.microsoft.com/office/drawing/2014/chart" uri="{C3380CC4-5D6E-409C-BE32-E72D297353CC}">
              <c16:uniqueId val="{00000001-B70F-4A33-82C9-ADEE55CF8FAD}"/>
            </c:ext>
          </c:extLst>
        </c:ser>
        <c:dLbls>
          <c:showLegendKey val="0"/>
          <c:showVal val="0"/>
          <c:showCatName val="0"/>
          <c:showSerName val="0"/>
          <c:showPercent val="0"/>
          <c:showBubbleSize val="0"/>
        </c:dLbls>
        <c:smooth val="0"/>
        <c:axId val="2132715920"/>
        <c:axId val="2132719312"/>
      </c:lineChart>
      <c:catAx>
        <c:axId val="2132715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2719312"/>
        <c:crosses val="autoZero"/>
        <c:auto val="1"/>
        <c:lblAlgn val="ctr"/>
        <c:lblOffset val="100"/>
        <c:noMultiLvlLbl val="0"/>
      </c:catAx>
      <c:valAx>
        <c:axId val="213271931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27159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Deuda externa </a:t>
            </a:r>
            <a:endParaRPr lang="es-PY" baseline="0"/>
          </a:p>
          <a:p>
            <a:pPr>
              <a:defRPr/>
            </a:pPr>
            <a:r>
              <a:rPr lang="es-PY" baseline="0"/>
              <a:t>%  del PIB</a:t>
            </a:r>
            <a:endParaRPr lang="es-PY"/>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0704692159226801E-2"/>
          <c:y val="0.15535483870967701"/>
          <c:w val="0.93921339227681599"/>
          <c:h val="0.71253509440352203"/>
        </c:manualLayout>
      </c:layout>
      <c:lineChart>
        <c:grouping val="standard"/>
        <c:varyColors val="0"/>
        <c:ser>
          <c:idx val="0"/>
          <c:order val="0"/>
          <c:tx>
            <c:v>Deuda externa ajustada por TCR</c:v>
          </c:tx>
          <c:spPr>
            <a:ln w="28575" cap="rnd">
              <a:solidFill>
                <a:schemeClr val="accent1"/>
              </a:solidFill>
              <a:round/>
            </a:ln>
            <a:effectLst/>
          </c:spPr>
          <c:marker>
            <c:symbol val="none"/>
          </c:marker>
          <c:cat>
            <c:numRef>
              <c:f>'Base_Budget Constraint'!$A$69:$A$79</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'Base_Budget Constraint'!$O$69:$O$79</c:f>
              <c:numCache>
                <c:formatCode>0.0%</c:formatCode>
                <c:ptCount val="11"/>
                <c:pt idx="0">
                  <c:v>0.20509463804825023</c:v>
                </c:pt>
                <c:pt idx="1">
                  <c:v>0.1844679070981014</c:v>
                </c:pt>
                <c:pt idx="2">
                  <c:v>0.168541255900059</c:v>
                </c:pt>
                <c:pt idx="3">
                  <c:v>0.15190132881090182</c:v>
                </c:pt>
                <c:pt idx="4">
                  <c:v>0.1445566542202901</c:v>
                </c:pt>
                <c:pt idx="5">
                  <c:v>0.14671240598056443</c:v>
                </c:pt>
                <c:pt idx="6">
                  <c:v>0.13344793119112308</c:v>
                </c:pt>
                <c:pt idx="7">
                  <c:v>0.12151779650534515</c:v>
                </c:pt>
                <c:pt idx="8">
                  <c:v>0.11862551166202466</c:v>
                </c:pt>
                <c:pt idx="9">
                  <c:v>0.12241772955372428</c:v>
                </c:pt>
                <c:pt idx="10">
                  <c:v>0.15947629416157724</c:v>
                </c:pt>
              </c:numCache>
            </c:numRef>
          </c:val>
          <c:smooth val="0"/>
          <c:extLst>
            <c:ext xmlns:c16="http://schemas.microsoft.com/office/drawing/2014/chart" uri="{C3380CC4-5D6E-409C-BE32-E72D297353CC}">
              <c16:uniqueId val="{00000000-1FC9-4E7A-967F-4307BA0D94BB}"/>
            </c:ext>
          </c:extLst>
        </c:ser>
        <c:ser>
          <c:idx val="1"/>
          <c:order val="1"/>
          <c:tx>
            <c:v>Deuda externa</c:v>
          </c:tx>
          <c:spPr>
            <a:ln w="28575" cap="rnd">
              <a:solidFill>
                <a:schemeClr val="accent2"/>
              </a:solidFill>
              <a:round/>
            </a:ln>
            <a:effectLst/>
          </c:spPr>
          <c:marker>
            <c:symbol val="none"/>
          </c:marker>
          <c:cat>
            <c:numRef>
              <c:f>'Base_Budget Constraint'!$A$69:$A$79</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'Base_Budget Constraint'!$Q$69:$Q$79</c:f>
              <c:numCache>
                <c:formatCode>0.0%</c:formatCode>
                <c:ptCount val="11"/>
                <c:pt idx="0">
                  <c:v>0.29659654998498458</c:v>
                </c:pt>
                <c:pt idx="1">
                  <c:v>0.25890559202959085</c:v>
                </c:pt>
                <c:pt idx="2">
                  <c:v>0.20915909016832279</c:v>
                </c:pt>
                <c:pt idx="3">
                  <c:v>0.15937314699899352</c:v>
                </c:pt>
                <c:pt idx="4">
                  <c:v>0.12073638836481612</c:v>
                </c:pt>
                <c:pt idx="5">
                  <c:v>0.14019795739638</c:v>
                </c:pt>
                <c:pt idx="6">
                  <c:v>0.11660581227439268</c:v>
                </c:pt>
                <c:pt idx="7">
                  <c:v>9.0845966089144095E-2</c:v>
                </c:pt>
                <c:pt idx="8">
                  <c:v>9.0765307020063607E-2</c:v>
                </c:pt>
                <c:pt idx="9">
                  <c:v>9.2579955976182501E-2</c:v>
                </c:pt>
                <c:pt idx="10">
                  <c:v>0.12002385661327161</c:v>
                </c:pt>
              </c:numCache>
            </c:numRef>
          </c:val>
          <c:smooth val="0"/>
          <c:extLst>
            <c:ext xmlns:c16="http://schemas.microsoft.com/office/drawing/2014/chart" uri="{C3380CC4-5D6E-409C-BE32-E72D297353CC}">
              <c16:uniqueId val="{00000001-1FC9-4E7A-967F-4307BA0D94BB}"/>
            </c:ext>
          </c:extLst>
        </c:ser>
        <c:dLbls>
          <c:showLegendKey val="0"/>
          <c:showVal val="0"/>
          <c:showCatName val="0"/>
          <c:showSerName val="0"/>
          <c:showPercent val="0"/>
          <c:showBubbleSize val="0"/>
        </c:dLbls>
        <c:smooth val="0"/>
        <c:axId val="2131564208"/>
        <c:axId val="2131567600"/>
      </c:lineChart>
      <c:catAx>
        <c:axId val="2131564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1567600"/>
        <c:crosses val="autoZero"/>
        <c:auto val="1"/>
        <c:lblAlgn val="ctr"/>
        <c:lblOffset val="100"/>
        <c:noMultiLvlLbl val="0"/>
      </c:catAx>
      <c:valAx>
        <c:axId val="213156760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1564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Deuda</a:t>
            </a:r>
            <a:r>
              <a:rPr lang="es-PY" baseline="0"/>
              <a:t> interna del Sector Público con el BCP </a:t>
            </a:r>
          </a:p>
          <a:p>
            <a:pPr>
              <a:defRPr/>
            </a:pPr>
            <a:r>
              <a:rPr lang="es-PY" baseline="0"/>
              <a:t>(% del PIB)</a:t>
            </a:r>
            <a:endParaRPr lang="es-PY"/>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Base_Graficos!$A$5:$A$16</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Base_Graficos!$BZ$5:$BZ$16</c:f>
              <c:numCache>
                <c:formatCode>0.0%</c:formatCode>
                <c:ptCount val="12"/>
                <c:pt idx="0">
                  <c:v>5.6427144600191569E-2</c:v>
                </c:pt>
                <c:pt idx="1">
                  <c:v>6.4531238455666246E-2</c:v>
                </c:pt>
                <c:pt idx="2">
                  <c:v>7.7933637362432626E-2</c:v>
                </c:pt>
                <c:pt idx="3">
                  <c:v>8.6063365712418335E-2</c:v>
                </c:pt>
                <c:pt idx="4">
                  <c:v>8.7152815858907121E-2</c:v>
                </c:pt>
                <c:pt idx="5">
                  <c:v>8.7883999713756725E-2</c:v>
                </c:pt>
                <c:pt idx="6">
                  <c:v>8.0878714297972068E-2</c:v>
                </c:pt>
                <c:pt idx="7">
                  <c:v>8.4412929489062788E-2</c:v>
                </c:pt>
                <c:pt idx="8">
                  <c:v>7.7809170978256834E-2</c:v>
                </c:pt>
                <c:pt idx="9">
                  <c:v>7.4980494565812489E-2</c:v>
                </c:pt>
                <c:pt idx="10">
                  <c:v>8.0368766725937013E-2</c:v>
                </c:pt>
                <c:pt idx="11">
                  <c:v>6.1711247166777707E-2</c:v>
                </c:pt>
              </c:numCache>
            </c:numRef>
          </c:val>
          <c:smooth val="0"/>
          <c:extLst>
            <c:ext xmlns:c16="http://schemas.microsoft.com/office/drawing/2014/chart" uri="{C3380CC4-5D6E-409C-BE32-E72D297353CC}">
              <c16:uniqueId val="{00000000-67DA-4BFD-AF17-1F00B23EFB6D}"/>
            </c:ext>
          </c:extLst>
        </c:ser>
        <c:dLbls>
          <c:showLegendKey val="0"/>
          <c:showVal val="0"/>
          <c:showCatName val="0"/>
          <c:showSerName val="0"/>
          <c:showPercent val="0"/>
          <c:showBubbleSize val="0"/>
        </c:dLbls>
        <c:smooth val="0"/>
        <c:axId val="2131596080"/>
        <c:axId val="2131599472"/>
      </c:lineChart>
      <c:catAx>
        <c:axId val="2131596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1599472"/>
        <c:crosses val="autoZero"/>
        <c:auto val="1"/>
        <c:lblAlgn val="ctr"/>
        <c:lblOffset val="100"/>
        <c:noMultiLvlLbl val="0"/>
      </c:catAx>
      <c:valAx>
        <c:axId val="213159947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15960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Deuda</a:t>
            </a:r>
            <a:r>
              <a:rPr lang="es-PY" baseline="0"/>
              <a:t> interna del Sector Público con el BCP </a:t>
            </a:r>
          </a:p>
          <a:p>
            <a:pPr>
              <a:defRPr/>
            </a:pPr>
            <a:r>
              <a:rPr lang="es-PY" baseline="0"/>
              <a:t>(% del PIB)</a:t>
            </a:r>
            <a:endParaRPr lang="es-PY"/>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Base_Graficos!$A$17:$A$32</c:f>
              <c:numCache>
                <c:formatCode>General</c:formatCode>
                <c:ptCount val="1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numCache>
            </c:numRef>
          </c:cat>
          <c:val>
            <c:numRef>
              <c:f>Base_Graficos!$BZ$17:$BZ$32</c:f>
              <c:numCache>
                <c:formatCode>0.0%</c:formatCode>
                <c:ptCount val="16"/>
                <c:pt idx="0">
                  <c:v>4.0692814822303414E-2</c:v>
                </c:pt>
                <c:pt idx="1">
                  <c:v>3.810657358670063E-2</c:v>
                </c:pt>
                <c:pt idx="2">
                  <c:v>2.9359748722526259E-2</c:v>
                </c:pt>
                <c:pt idx="3">
                  <c:v>2.3103753244407898E-2</c:v>
                </c:pt>
                <c:pt idx="4">
                  <c:v>1.9419772337477537E-2</c:v>
                </c:pt>
                <c:pt idx="5">
                  <c:v>1.8176036792855451E-2</c:v>
                </c:pt>
                <c:pt idx="6">
                  <c:v>2.2302716350248202E-2</c:v>
                </c:pt>
                <c:pt idx="7">
                  <c:v>1.776148110617248E-2</c:v>
                </c:pt>
                <c:pt idx="8">
                  <c:v>1.7571780205946193E-2</c:v>
                </c:pt>
                <c:pt idx="9">
                  <c:v>4.348046978282126E-2</c:v>
                </c:pt>
                <c:pt idx="10">
                  <c:v>4.575445863597364E-2</c:v>
                </c:pt>
                <c:pt idx="11">
                  <c:v>4.6148336962899945E-2</c:v>
                </c:pt>
                <c:pt idx="12">
                  <c:v>4.2125979752213272E-2</c:v>
                </c:pt>
                <c:pt idx="13">
                  <c:v>4.3730072147480502E-2</c:v>
                </c:pt>
                <c:pt idx="14">
                  <c:v>4.1167481546494654E-2</c:v>
                </c:pt>
                <c:pt idx="15">
                  <c:v>2.7974335419173442E-2</c:v>
                </c:pt>
              </c:numCache>
            </c:numRef>
          </c:val>
          <c:smooth val="0"/>
          <c:extLst>
            <c:ext xmlns:c16="http://schemas.microsoft.com/office/drawing/2014/chart" uri="{C3380CC4-5D6E-409C-BE32-E72D297353CC}">
              <c16:uniqueId val="{00000000-E64E-4807-8381-15CC467ED507}"/>
            </c:ext>
          </c:extLst>
        </c:ser>
        <c:dLbls>
          <c:showLegendKey val="0"/>
          <c:showVal val="0"/>
          <c:showCatName val="0"/>
          <c:showSerName val="0"/>
          <c:showPercent val="0"/>
          <c:showBubbleSize val="0"/>
        </c:dLbls>
        <c:smooth val="0"/>
        <c:axId val="2131629264"/>
        <c:axId val="2131632656"/>
      </c:lineChart>
      <c:catAx>
        <c:axId val="2131629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1632656"/>
        <c:crosses val="autoZero"/>
        <c:auto val="1"/>
        <c:lblAlgn val="ctr"/>
        <c:lblOffset val="100"/>
        <c:noMultiLvlLbl val="0"/>
      </c:catAx>
      <c:valAx>
        <c:axId val="213163265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16292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Deuda</a:t>
            </a:r>
            <a:r>
              <a:rPr lang="es-PY" baseline="0"/>
              <a:t> interna del Sector Público con el BCP </a:t>
            </a:r>
          </a:p>
          <a:p>
            <a:pPr>
              <a:defRPr/>
            </a:pPr>
            <a:r>
              <a:rPr lang="es-PY" baseline="0"/>
              <a:t>(% del PIB)</a:t>
            </a:r>
            <a:endParaRPr lang="es-PY"/>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Base_Graficos!$A$33:$A$46</c:f>
              <c:numCache>
                <c:formatCode>General</c:formatCode>
                <c:ptCount val="1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numCache>
            </c:numRef>
          </c:cat>
          <c:val>
            <c:numRef>
              <c:f>Base_Graficos!$BZ$33:$BZ$46</c:f>
              <c:numCache>
                <c:formatCode>0.0%</c:formatCode>
                <c:ptCount val="14"/>
                <c:pt idx="0">
                  <c:v>3.096591565308222E-2</c:v>
                </c:pt>
                <c:pt idx="1">
                  <c:v>2.8739096475175287E-2</c:v>
                </c:pt>
                <c:pt idx="2">
                  <c:v>9.6756620542715721E-2</c:v>
                </c:pt>
                <c:pt idx="3">
                  <c:v>9.3789331413847751E-2</c:v>
                </c:pt>
                <c:pt idx="4">
                  <c:v>8.4776672957300209E-2</c:v>
                </c:pt>
                <c:pt idx="5">
                  <c:v>7.1953990840610521E-2</c:v>
                </c:pt>
                <c:pt idx="6">
                  <c:v>6.7402239849684145E-2</c:v>
                </c:pt>
                <c:pt idx="7">
                  <c:v>7.0820138317736675E-2</c:v>
                </c:pt>
                <c:pt idx="8">
                  <c:v>7.7259487357412768E-2</c:v>
                </c:pt>
                <c:pt idx="9">
                  <c:v>5.5621451658629119E-2</c:v>
                </c:pt>
                <c:pt idx="10">
                  <c:v>5.3999949374832046E-2</c:v>
                </c:pt>
                <c:pt idx="11">
                  <c:v>5.6099282265212283E-2</c:v>
                </c:pt>
                <c:pt idx="12">
                  <c:v>7.1771898431175027E-2</c:v>
                </c:pt>
                <c:pt idx="13">
                  <c:v>6.4289430842002809E-2</c:v>
                </c:pt>
              </c:numCache>
            </c:numRef>
          </c:val>
          <c:smooth val="0"/>
          <c:extLst>
            <c:ext xmlns:c16="http://schemas.microsoft.com/office/drawing/2014/chart" uri="{C3380CC4-5D6E-409C-BE32-E72D297353CC}">
              <c16:uniqueId val="{00000000-0094-4D9A-BF9C-31C526CC95E6}"/>
            </c:ext>
          </c:extLst>
        </c:ser>
        <c:dLbls>
          <c:showLegendKey val="0"/>
          <c:showVal val="0"/>
          <c:showCatName val="0"/>
          <c:showSerName val="0"/>
          <c:showPercent val="0"/>
          <c:showBubbleSize val="0"/>
        </c:dLbls>
        <c:smooth val="0"/>
        <c:axId val="2131662400"/>
        <c:axId val="2131665792"/>
      </c:lineChart>
      <c:catAx>
        <c:axId val="213166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1665792"/>
        <c:crosses val="autoZero"/>
        <c:auto val="1"/>
        <c:lblAlgn val="ctr"/>
        <c:lblOffset val="100"/>
        <c:noMultiLvlLbl val="0"/>
      </c:catAx>
      <c:valAx>
        <c:axId val="213166579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16624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Deuda</a:t>
            </a:r>
            <a:r>
              <a:rPr lang="es-PY" baseline="0"/>
              <a:t> interna del Sector Público con el BCP </a:t>
            </a:r>
          </a:p>
          <a:p>
            <a:pPr>
              <a:defRPr/>
            </a:pPr>
            <a:r>
              <a:rPr lang="es-PY" baseline="0"/>
              <a:t>(% del PIB)</a:t>
            </a:r>
            <a:endParaRPr lang="es-PY"/>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Base_Graficos!$A$47:$A$57</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Base_Graficos!$BZ$47:$BZ$57</c:f>
              <c:numCache>
                <c:formatCode>0.0%</c:formatCode>
                <c:ptCount val="11"/>
                <c:pt idx="0">
                  <c:v>6.5188798900773823E-2</c:v>
                </c:pt>
                <c:pt idx="1">
                  <c:v>5.7113919836612764E-2</c:v>
                </c:pt>
                <c:pt idx="2">
                  <c:v>4.7786115983558773E-2</c:v>
                </c:pt>
                <c:pt idx="3">
                  <c:v>4.2116627137838265E-2</c:v>
                </c:pt>
                <c:pt idx="4">
                  <c:v>3.7641782230758258E-2</c:v>
                </c:pt>
                <c:pt idx="5">
                  <c:v>3.7931083648390471E-2</c:v>
                </c:pt>
                <c:pt idx="6">
                  <c:v>3.3507399334830705E-2</c:v>
                </c:pt>
              </c:numCache>
            </c:numRef>
          </c:val>
          <c:smooth val="0"/>
          <c:extLst>
            <c:ext xmlns:c16="http://schemas.microsoft.com/office/drawing/2014/chart" uri="{C3380CC4-5D6E-409C-BE32-E72D297353CC}">
              <c16:uniqueId val="{00000000-288E-4965-AF70-8EB87456D9AF}"/>
            </c:ext>
          </c:extLst>
        </c:ser>
        <c:dLbls>
          <c:showLegendKey val="0"/>
          <c:showVal val="0"/>
          <c:showCatName val="0"/>
          <c:showSerName val="0"/>
          <c:showPercent val="0"/>
          <c:showBubbleSize val="0"/>
        </c:dLbls>
        <c:smooth val="0"/>
        <c:axId val="2131695360"/>
        <c:axId val="2131698752"/>
      </c:lineChart>
      <c:catAx>
        <c:axId val="2131695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1698752"/>
        <c:crosses val="autoZero"/>
        <c:auto val="1"/>
        <c:lblAlgn val="ctr"/>
        <c:lblOffset val="100"/>
        <c:noMultiLvlLbl val="0"/>
      </c:catAx>
      <c:valAx>
        <c:axId val="213169875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1695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0"/>
          <c:spPr>
            <a:solidFill>
              <a:srgbClr val="002060"/>
            </a:solidFill>
            <a:ln>
              <a:noFill/>
            </a:ln>
            <a:effectLst/>
          </c:spPr>
          <c:invertIfNegative val="0"/>
          <c:cat>
            <c:numRef>
              <c:f>Deficit!$B$7:$B$58</c:f>
              <c:numCache>
                <c:formatCode>General</c:formatCode>
                <c:ptCount val="52"/>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numCache>
            </c:numRef>
          </c:cat>
          <c:val>
            <c:numRef>
              <c:f>Deficit!#REF!</c:f>
              <c:numCache>
                <c:formatCode>General</c:formatCode>
                <c:ptCount val="1"/>
                <c:pt idx="0">
                  <c:v>1</c:v>
                </c:pt>
              </c:numCache>
            </c:numRef>
          </c:val>
          <c:extLst>
            <c:ext xmlns:c16="http://schemas.microsoft.com/office/drawing/2014/chart" uri="{C3380CC4-5D6E-409C-BE32-E72D297353CC}">
              <c16:uniqueId val="{00000000-5019-4106-90A4-C1BA6CBD3564}"/>
            </c:ext>
          </c:extLst>
        </c:ser>
        <c:dLbls>
          <c:showLegendKey val="0"/>
          <c:showVal val="0"/>
          <c:showCatName val="0"/>
          <c:showSerName val="0"/>
          <c:showPercent val="0"/>
          <c:showBubbleSize val="0"/>
        </c:dLbls>
        <c:gapWidth val="150"/>
        <c:axId val="2131710576"/>
        <c:axId val="2131713792"/>
      </c:barChart>
      <c:catAx>
        <c:axId val="213171057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a:lstStyle/>
          <a:p>
            <a:pPr>
              <a:defRPr/>
            </a:pPr>
            <a:endParaRPr lang="en-US"/>
          </a:p>
        </c:txPr>
        <c:crossAx val="2131713792"/>
        <c:crosses val="autoZero"/>
        <c:auto val="1"/>
        <c:lblAlgn val="ctr"/>
        <c:lblOffset val="100"/>
        <c:noMultiLvlLbl val="0"/>
      </c:catAx>
      <c:valAx>
        <c:axId val="2131713792"/>
        <c:scaling>
          <c:orientation val="minMax"/>
        </c:scaling>
        <c:delete val="0"/>
        <c:axPos val="l"/>
        <c:title>
          <c:tx>
            <c:rich>
              <a:bodyPr rot="-5400000" vert="horz"/>
              <a:lstStyle/>
              <a:p>
                <a:pPr>
                  <a:defRPr/>
                </a:pPr>
                <a:r>
                  <a:rPr lang="es-PY"/>
                  <a:t>% del PIB</a:t>
                </a:r>
              </a:p>
            </c:rich>
          </c:tx>
          <c:overlay val="0"/>
        </c:title>
        <c:numFmt formatCode="0%" sourceLinked="0"/>
        <c:majorTickMark val="out"/>
        <c:minorTickMark val="none"/>
        <c:tickLblPos val="nextTo"/>
        <c:spPr>
          <a:noFill/>
          <a:effectLst/>
        </c:spPr>
        <c:txPr>
          <a:bodyPr rot="-60000000" vert="horz"/>
          <a:lstStyle/>
          <a:p>
            <a:pPr>
              <a:defRPr/>
            </a:pPr>
            <a:endParaRPr lang="en-US"/>
          </a:p>
        </c:txPr>
        <c:crossAx val="2131710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0">
          <a:latin typeface="Humanst521 BT" panose="020B0602020204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7894097318215798E-2"/>
          <c:y val="5.0925925925925902E-2"/>
          <c:w val="0.93344808492258702"/>
          <c:h val="0.74734324876057201"/>
        </c:manualLayout>
      </c:layout>
      <c:barChart>
        <c:barDir val="col"/>
        <c:grouping val="clustered"/>
        <c:varyColors val="0"/>
        <c:ser>
          <c:idx val="4"/>
          <c:order val="2"/>
          <c:tx>
            <c:v>#REF!</c:v>
          </c:tx>
          <c:spPr>
            <a:solidFill>
              <a:srgbClr val="4472C4"/>
            </a:solidFill>
            <a:ln>
              <a:solidFill>
                <a:srgbClr val="4472C4"/>
              </a:solidFill>
            </a:ln>
          </c:spPr>
          <c:invertIfNegative val="0"/>
          <c:cat>
            <c:numLit>
              <c:formatCode>General</c:formatCode>
              <c:ptCount val="52"/>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numLit>
          </c:cat>
          <c:val>
            <c:numLit>
              <c:formatCode>General</c:formatCode>
              <c:ptCount val="52"/>
              <c:pt idx="0">
                <c:v>-2.0410984295465432E-3</c:v>
              </c:pt>
              <c:pt idx="1">
                <c:v>1.2103074985121925E-2</c:v>
              </c:pt>
              <c:pt idx="2">
                <c:v>2.7682128948473075E-2</c:v>
              </c:pt>
              <c:pt idx="3">
                <c:v>3.0021159234269068E-2</c:v>
              </c:pt>
              <c:pt idx="4">
                <c:v>2.1561256640421043E-2</c:v>
              </c:pt>
              <c:pt idx="5">
                <c:v>5.9370503584097477E-2</c:v>
              </c:pt>
              <c:pt idx="6">
                <c:v>4.6514730058427142E-2</c:v>
              </c:pt>
              <c:pt idx="7">
                <c:v>2.6152498407005703E-2</c:v>
              </c:pt>
              <c:pt idx="8">
                <c:v>5.000419753526484E-2</c:v>
              </c:pt>
              <c:pt idx="9">
                <c:v>2.3343585256311656E-2</c:v>
              </c:pt>
              <c:pt idx="10">
                <c:v>2.8198198205832515E-2</c:v>
              </c:pt>
              <c:pt idx="11">
                <c:v>2.5403326874723804E-3</c:v>
              </c:pt>
              <c:pt idx="12">
                <c:v>-8.2518892947356509E-4</c:v>
              </c:pt>
              <c:pt idx="13">
                <c:v>2.6272818061554751E-2</c:v>
              </c:pt>
              <c:pt idx="14">
                <c:v>7.6908104416236772E-2</c:v>
              </c:pt>
              <c:pt idx="15">
                <c:v>1.8284454125236542E-2</c:v>
              </c:pt>
              <c:pt idx="16">
                <c:v>6.2417631824679527E-2</c:v>
              </c:pt>
              <c:pt idx="17">
                <c:v>-7.1459272951741523E-3</c:v>
              </c:pt>
              <c:pt idx="18">
                <c:v>2.0831104337864774E-2</c:v>
              </c:pt>
              <c:pt idx="19">
                <c:v>-1.2499521258862611E-2</c:v>
              </c:pt>
              <c:pt idx="20">
                <c:v>5.6524667244184063E-2</c:v>
              </c:pt>
              <c:pt idx="21">
                <c:v>0.1235316662826601</c:v>
              </c:pt>
              <c:pt idx="22">
                <c:v>8.2271009616573132E-2</c:v>
              </c:pt>
              <c:pt idx="23">
                <c:v>3.4300950620035714E-2</c:v>
              </c:pt>
              <c:pt idx="24">
                <c:v>8.2675791902581161E-2</c:v>
              </c:pt>
              <c:pt idx="25">
                <c:v>4.4059460313099347E-2</c:v>
              </c:pt>
              <c:pt idx="26">
                <c:v>-4.568842451311201E-2</c:v>
              </c:pt>
              <c:pt idx="27">
                <c:v>6.9581026319175503E-3</c:v>
              </c:pt>
              <c:pt idx="28">
                <c:v>-9.0841791997774174E-2</c:v>
              </c:pt>
              <c:pt idx="29">
                <c:v>-1.4648606420137196E-2</c:v>
              </c:pt>
              <c:pt idx="30">
                <c:v>-4.6610610491340444E-2</c:v>
              </c:pt>
              <c:pt idx="31">
                <c:v>9.9753118619371611E-4</c:v>
              </c:pt>
              <c:pt idx="32">
                <c:v>1.6265302478490791E-2</c:v>
              </c:pt>
              <c:pt idx="33">
                <c:v>2.3270802399226756E-2</c:v>
              </c:pt>
              <c:pt idx="34">
                <c:v>-7.1545921214432335E-3</c:v>
              </c:pt>
              <c:pt idx="35">
                <c:v>5.8266091214549658E-3</c:v>
              </c:pt>
              <c:pt idx="36">
                <c:v>2.6361135542797079E-2</c:v>
              </c:pt>
              <c:pt idx="37">
                <c:v>6.922438523680513E-2</c:v>
              </c:pt>
              <c:pt idx="38">
                <c:v>9.0099732693555735E-3</c:v>
              </c:pt>
              <c:pt idx="39">
                <c:v>-1.3024940579309894E-2</c:v>
              </c:pt>
              <c:pt idx="40">
                <c:v>2.9979619638128015E-2</c:v>
              </c:pt>
              <c:pt idx="41">
                <c:v>3.1794943295532327E-2</c:v>
              </c:pt>
              <c:pt idx="42">
                <c:v>-3.4695419872551092E-2</c:v>
              </c:pt>
              <c:pt idx="43">
                <c:v>-3.5259094645031283E-2</c:v>
              </c:pt>
              <c:pt idx="44">
                <c:v>-7.8436724316130087E-3</c:v>
              </c:pt>
              <c:pt idx="45">
                <c:v>2.8046167235963697E-3</c:v>
              </c:pt>
              <c:pt idx="46">
                <c:v>-5.8544230804715124E-3</c:v>
              </c:pt>
              <c:pt idx="47">
                <c:v>4.2004442533467447E-2</c:v>
              </c:pt>
              <c:pt idx="48">
                <c:v>-1.4333578096034565E-2</c:v>
              </c:pt>
              <c:pt idx="49">
                <c:v>-3.398080172084204E-3</c:v>
              </c:pt>
              <c:pt idx="50">
                <c:v>1.4819407207524754E-2</c:v>
              </c:pt>
              <c:pt idx="51">
                <c:v>3.5564316846645773E-3</c:v>
              </c:pt>
            </c:numLit>
          </c:val>
          <c:extLst>
            <c:ext xmlns:c16="http://schemas.microsoft.com/office/drawing/2014/chart" uri="{C3380CC4-5D6E-409C-BE32-E72D297353CC}">
              <c16:uniqueId val="{00000000-3C9B-4B50-AD50-3AE390AFBA9D}"/>
            </c:ext>
          </c:extLst>
        </c:ser>
        <c:dLbls>
          <c:showLegendKey val="0"/>
          <c:showVal val="0"/>
          <c:showCatName val="0"/>
          <c:showSerName val="0"/>
          <c:showPercent val="0"/>
          <c:showBubbleSize val="0"/>
        </c:dLbls>
        <c:gapWidth val="150"/>
        <c:axId val="2126635920"/>
        <c:axId val="2125532224"/>
      </c:barChart>
      <c:lineChart>
        <c:grouping val="standard"/>
        <c:varyColors val="0"/>
        <c:ser>
          <c:idx val="2"/>
          <c:order val="0"/>
          <c:tx>
            <c:v>Primary deficit</c:v>
          </c:tx>
          <c:spPr>
            <a:ln>
              <a:solidFill>
                <a:sysClr val="windowText" lastClr="000000"/>
              </a:solidFill>
              <a:prstDash val="dash"/>
            </a:ln>
          </c:spPr>
          <c:marker>
            <c:symbol val="none"/>
          </c:marker>
          <c:cat>
            <c:numLit>
              <c:formatCode>General</c:formatCode>
              <c:ptCount val="52"/>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numLit>
          </c:cat>
          <c:val>
            <c:numLit>
              <c:formatCode>General</c:formatCode>
              <c:ptCount val="52"/>
              <c:pt idx="0">
                <c:v>1.1240876664964664E-4</c:v>
              </c:pt>
              <c:pt idx="1">
                <c:v>5.8934019092755667E-3</c:v>
              </c:pt>
              <c:pt idx="2">
                <c:v>3.0336067485053353E-3</c:v>
              </c:pt>
              <c:pt idx="3">
                <c:v>-4.7214850366868151E-3</c:v>
              </c:pt>
              <c:pt idx="4">
                <c:v>1.1473351651212275E-2</c:v>
              </c:pt>
              <c:pt idx="5">
                <c:v>4.0013348305442925E-2</c:v>
              </c:pt>
              <c:pt idx="6">
                <c:v>2.8075440689179391E-2</c:v>
              </c:pt>
              <c:pt idx="7">
                <c:v>6.8706279750946021E-3</c:v>
              </c:pt>
              <c:pt idx="8">
                <c:v>1.6183729056629915E-4</c:v>
              </c:pt>
              <c:pt idx="9">
                <c:v>1.0225310691702148E-2</c:v>
              </c:pt>
              <c:pt idx="10">
                <c:v>2.1514630035737604E-2</c:v>
              </c:pt>
              <c:pt idx="11">
                <c:v>5.5280408049175767E-3</c:v>
              </c:pt>
              <c:pt idx="12">
                <c:v>-4.4562939704818633E-3</c:v>
              </c:pt>
              <c:pt idx="13">
                <c:v>3.6894475161891122E-2</c:v>
              </c:pt>
              <c:pt idx="14">
                <c:v>-4.2093020235154889E-3</c:v>
              </c:pt>
              <c:pt idx="15">
                <c:v>-5.308910796718508E-3</c:v>
              </c:pt>
              <c:pt idx="16">
                <c:v>-1.2036172964254618E-2</c:v>
              </c:pt>
              <c:pt idx="17">
                <c:v>0</c:v>
              </c:pt>
              <c:pt idx="18">
                <c:v>-5.7437245411195081E-3</c:v>
              </c:pt>
              <c:pt idx="19">
                <c:v>2.7164822515278561E-2</c:v>
              </c:pt>
              <c:pt idx="20">
                <c:v>1.0185905657653135E-2</c:v>
              </c:pt>
              <c:pt idx="21">
                <c:v>5.1959063378354479E-2</c:v>
              </c:pt>
              <c:pt idx="22">
                <c:v>7.5466231856294072E-2</c:v>
              </c:pt>
              <c:pt idx="23">
                <c:v>4.477751703470953E-2</c:v>
              </c:pt>
              <c:pt idx="24">
                <c:v>2.9096941566512682E-2</c:v>
              </c:pt>
              <c:pt idx="25">
                <c:v>1.0126692524366866E-2</c:v>
              </c:pt>
              <c:pt idx="26">
                <c:v>2.1991925772062021E-2</c:v>
              </c:pt>
              <c:pt idx="27">
                <c:v>3.4020801690990161E-3</c:v>
              </c:pt>
              <c:pt idx="28">
                <c:v>-5.1978746034350869E-2</c:v>
              </c:pt>
              <c:pt idx="29">
                <c:v>-3.4730204106461472E-2</c:v>
              </c:pt>
              <c:pt idx="30">
                <c:v>-2.1588366975412356E-3</c:v>
              </c:pt>
              <c:pt idx="31">
                <c:v>-1.5940105792714192E-2</c:v>
              </c:pt>
              <c:pt idx="32">
                <c:v>-2.8638627337224099E-2</c:v>
              </c:pt>
              <c:pt idx="33">
                <c:v>-1.4816428509566451E-2</c:v>
              </c:pt>
              <c:pt idx="34">
                <c:v>-1.3213650334617305E-2</c:v>
              </c:pt>
              <c:pt idx="35">
                <c:v>6.7221138140633515E-3</c:v>
              </c:pt>
              <c:pt idx="36">
                <c:v>-2.2982452367306103E-2</c:v>
              </c:pt>
              <c:pt idx="37">
                <c:v>2.258090895139217E-2</c:v>
              </c:pt>
              <c:pt idx="38">
                <c:v>1.7092986475840247E-2</c:v>
              </c:pt>
              <c:pt idx="39">
                <c:v>-1.4030045975110379E-2</c:v>
              </c:pt>
              <c:pt idx="40">
                <c:v>1.8968309950927097E-2</c:v>
              </c:pt>
              <c:pt idx="41">
                <c:v>-1.3300230655402874E-2</c:v>
              </c:pt>
              <c:pt idx="42">
                <c:v>-2.5487569557068199E-2</c:v>
              </c:pt>
              <c:pt idx="43">
                <c:v>-1.8694752692763026E-2</c:v>
              </c:pt>
              <c:pt idx="44">
                <c:v>-2.4583895372803109E-2</c:v>
              </c:pt>
              <c:pt idx="45">
                <c:v>-2.1975277626448828E-2</c:v>
              </c:pt>
              <c:pt idx="46">
                <c:v>-3.3473128565125417E-2</c:v>
              </c:pt>
              <c:pt idx="47">
                <c:v>-1.8136236678454984E-3</c:v>
              </c:pt>
              <c:pt idx="48">
                <c:v>-1.465583679203186E-2</c:v>
              </c:pt>
              <c:pt idx="49">
                <c:v>-1.9131980443371856E-2</c:v>
              </c:pt>
              <c:pt idx="50">
                <c:v>-2.4166710109802418E-2</c:v>
              </c:pt>
              <c:pt idx="51">
                <c:v>1.4801837725422349E-2</c:v>
              </c:pt>
            </c:numLit>
          </c:val>
          <c:smooth val="0"/>
          <c:extLst>
            <c:ext xmlns:c16="http://schemas.microsoft.com/office/drawing/2014/chart" uri="{C3380CC4-5D6E-409C-BE32-E72D297353CC}">
              <c16:uniqueId val="{00000001-3C9B-4B50-AD50-3AE390AFBA9D}"/>
            </c:ext>
          </c:extLst>
        </c:ser>
        <c:ser>
          <c:idx val="3"/>
          <c:order val="1"/>
          <c:tx>
            <c:v>Residual (transfers)</c:v>
          </c:tx>
          <c:spPr>
            <a:ln w="28575">
              <a:solidFill>
                <a:sysClr val="windowText" lastClr="000000"/>
              </a:solidFill>
              <a:prstDash val="sysDot"/>
            </a:ln>
          </c:spPr>
          <c:marker>
            <c:symbol val="none"/>
          </c:marker>
          <c:cat>
            <c:numLit>
              <c:formatCode>General</c:formatCode>
              <c:ptCount val="52"/>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numLit>
          </c:cat>
          <c:val>
            <c:numLit>
              <c:formatCode>General</c:formatCode>
              <c:ptCount val="52"/>
              <c:pt idx="0">
                <c:v>-5.310615192609662E-3</c:v>
              </c:pt>
              <c:pt idx="1">
                <c:v>2.4725140670312281E-3</c:v>
              </c:pt>
              <c:pt idx="2">
                <c:v>2.0310347641577419E-2</c:v>
              </c:pt>
              <c:pt idx="3">
                <c:v>3.0418708706083455E-2</c:v>
              </c:pt>
              <c:pt idx="4">
                <c:v>6.3281544809338196E-3</c:v>
              </c:pt>
              <c:pt idx="5">
                <c:v>1.3847066479313358E-2</c:v>
              </c:pt>
              <c:pt idx="6">
                <c:v>1.3000390697266634E-2</c:v>
              </c:pt>
              <c:pt idx="7">
                <c:v>1.212812174195791E-2</c:v>
              </c:pt>
              <c:pt idx="8">
                <c:v>4.1643989247005998E-2</c:v>
              </c:pt>
              <c:pt idx="9">
                <c:v>3.5255542368238073E-3</c:v>
              </c:pt>
              <c:pt idx="10">
                <c:v>-3.4702519552845777E-3</c:v>
              </c:pt>
              <c:pt idx="11">
                <c:v>-1.1200229853518515E-2</c:v>
              </c:pt>
              <c:pt idx="12">
                <c:v>-3.6767110963435842E-3</c:v>
              </c:pt>
              <c:pt idx="13">
                <c:v>-1.8475121401785796E-2</c:v>
              </c:pt>
              <c:pt idx="14">
                <c:v>7.3808931428536534E-2</c:v>
              </c:pt>
              <c:pt idx="15">
                <c:v>1.5646338180288585E-2</c:v>
              </c:pt>
              <c:pt idx="16">
                <c:v>6.6141638742154049E-2</c:v>
              </c:pt>
              <c:pt idx="17">
                <c:v>-1.4727267395909353E-2</c:v>
              </c:pt>
              <c:pt idx="18">
                <c:v>1.9181871939550101E-2</c:v>
              </c:pt>
              <c:pt idx="19">
                <c:v>-4.6832667781124035E-2</c:v>
              </c:pt>
              <c:pt idx="20">
                <c:v>3.5174258239276092E-2</c:v>
              </c:pt>
              <c:pt idx="21">
                <c:v>5.3534486570273071E-2</c:v>
              </c:pt>
              <c:pt idx="22">
                <c:v>-1.3088580902881272E-2</c:v>
              </c:pt>
              <c:pt idx="23">
                <c:v>-4.3903507767255295E-2</c:v>
              </c:pt>
              <c:pt idx="24">
                <c:v>1.9923004117622864E-2</c:v>
              </c:pt>
              <c:pt idx="25">
                <c:v>-1.0104032984761951E-3</c:v>
              </c:pt>
              <c:pt idx="26">
                <c:v>-0.10050924048477484</c:v>
              </c:pt>
              <c:pt idx="27">
                <c:v>-1.4470749654052723E-2</c:v>
              </c:pt>
              <c:pt idx="28">
                <c:v>-5.2995854545367135E-2</c:v>
              </c:pt>
              <c:pt idx="29">
                <c:v>5.0468341203022907E-3</c:v>
              </c:pt>
              <c:pt idx="30">
                <c:v>-8.3497360236154672E-2</c:v>
              </c:pt>
              <c:pt idx="31">
                <c:v>4.8019879537871887E-3</c:v>
              </c:pt>
              <c:pt idx="32">
                <c:v>3.4336998868566122E-2</c:v>
              </c:pt>
              <c:pt idx="33">
                <c:v>3.0890955227571106E-2</c:v>
              </c:pt>
              <c:pt idx="34">
                <c:v>-4.4177493077754947E-4</c:v>
              </c:pt>
              <c:pt idx="35">
                <c:v>-7.2168841786567055E-3</c:v>
              </c:pt>
              <c:pt idx="36">
                <c:v>4.2184489879045772E-2</c:v>
              </c:pt>
              <c:pt idx="37">
                <c:v>3.8602023244335107E-2</c:v>
              </c:pt>
              <c:pt idx="38">
                <c:v>-2.0392737430684992E-2</c:v>
              </c:pt>
              <c:pt idx="39">
                <c:v>-1.5492544620382138E-2</c:v>
              </c:pt>
              <c:pt idx="40">
                <c:v>-4.6076708652459317E-3</c:v>
              </c:pt>
              <c:pt idx="41">
                <c:v>3.205986585573524E-2</c:v>
              </c:pt>
              <c:pt idx="42">
                <c:v>-2.5747870301872412E-2</c:v>
              </c:pt>
              <c:pt idx="43">
                <c:v>-2.847365901283461E-2</c:v>
              </c:pt>
              <c:pt idx="44">
                <c:v>7.8100222556236366E-3</c:v>
              </c:pt>
              <c:pt idx="45">
                <c:v>1.649573333273327E-2</c:v>
              </c:pt>
              <c:pt idx="46">
                <c:v>2.1065480458531433E-2</c:v>
              </c:pt>
              <c:pt idx="47">
                <c:v>3.7848411638234505E-2</c:v>
              </c:pt>
              <c:pt idx="48">
                <c:v>-3.0066855637021963E-3</c:v>
              </c:pt>
              <c:pt idx="49">
                <c:v>1.2715572903410606E-2</c:v>
              </c:pt>
              <c:pt idx="50">
                <c:v>3.6540251054732915E-2</c:v>
              </c:pt>
              <c:pt idx="51">
                <c:v>-1.3949698766773096E-2</c:v>
              </c:pt>
            </c:numLit>
          </c:val>
          <c:smooth val="0"/>
          <c:extLst>
            <c:ext xmlns:c16="http://schemas.microsoft.com/office/drawing/2014/chart" uri="{C3380CC4-5D6E-409C-BE32-E72D297353CC}">
              <c16:uniqueId val="{00000002-3C9B-4B50-AD50-3AE390AFBA9D}"/>
            </c:ext>
          </c:extLst>
        </c:ser>
        <c:dLbls>
          <c:showLegendKey val="0"/>
          <c:showVal val="0"/>
          <c:showCatName val="0"/>
          <c:showSerName val="0"/>
          <c:showPercent val="0"/>
          <c:showBubbleSize val="0"/>
        </c:dLbls>
        <c:marker val="1"/>
        <c:smooth val="0"/>
        <c:axId val="2126635920"/>
        <c:axId val="2125532224"/>
      </c:lineChart>
      <c:catAx>
        <c:axId val="2126635920"/>
        <c:scaling>
          <c:orientation val="minMax"/>
        </c:scaling>
        <c:delete val="0"/>
        <c:axPos val="b"/>
        <c:numFmt formatCode="General" sourceLinked="1"/>
        <c:majorTickMark val="out"/>
        <c:minorTickMark val="none"/>
        <c:tickLblPos val="low"/>
        <c:txPr>
          <a:bodyPr rot="-5400000" vert="horz"/>
          <a:lstStyle/>
          <a:p>
            <a:pPr>
              <a:defRPr sz="800"/>
            </a:pPr>
            <a:endParaRPr lang="en-US"/>
          </a:p>
        </c:txPr>
        <c:crossAx val="2125532224"/>
        <c:crosses val="autoZero"/>
        <c:auto val="1"/>
        <c:lblAlgn val="ctr"/>
        <c:lblOffset val="100"/>
        <c:noMultiLvlLbl val="0"/>
      </c:catAx>
      <c:valAx>
        <c:axId val="2125532224"/>
        <c:scaling>
          <c:orientation val="minMax"/>
        </c:scaling>
        <c:delete val="0"/>
        <c:axPos val="l"/>
        <c:numFmt formatCode="0%" sourceLinked="0"/>
        <c:majorTickMark val="out"/>
        <c:minorTickMark val="none"/>
        <c:tickLblPos val="nextTo"/>
        <c:txPr>
          <a:bodyPr/>
          <a:lstStyle/>
          <a:p>
            <a:pPr>
              <a:defRPr sz="800"/>
            </a:pPr>
            <a:endParaRPr lang="en-US"/>
          </a:p>
        </c:txPr>
        <c:crossAx val="2126635920"/>
        <c:crosses val="autoZero"/>
        <c:crossBetween val="between"/>
      </c:valAx>
    </c:plotArea>
    <c:legend>
      <c:legendPos val="b"/>
      <c:overlay val="0"/>
    </c:legend>
    <c:plotVisOnly val="1"/>
    <c:dispBlanksAs val="gap"/>
    <c:showDLblsOverMax val="0"/>
  </c:chart>
  <c:spPr>
    <a:ln>
      <a:noFill/>
    </a:ln>
  </c:spPr>
  <c:txPr>
    <a:bodyPr/>
    <a:lstStyle/>
    <a:p>
      <a:pPr>
        <a:defRPr>
          <a:latin typeface="Humanst521 BT" panose="020B0602020204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7894097318215798E-2"/>
          <c:y val="5.0925925925925902E-2"/>
          <c:w val="0.93344808492258702"/>
          <c:h val="0.74734324876057201"/>
        </c:manualLayout>
      </c:layout>
      <c:barChart>
        <c:barDir val="col"/>
        <c:grouping val="clustered"/>
        <c:varyColors val="0"/>
        <c:ser>
          <c:idx val="4"/>
          <c:order val="3"/>
          <c:tx>
            <c:v>TOTAL</c:v>
          </c:tx>
          <c:spPr>
            <a:solidFill>
              <a:srgbClr val="4472C4"/>
            </a:solidFill>
            <a:ln w="28575">
              <a:solidFill>
                <a:srgbClr val="4472C4"/>
              </a:solidFill>
            </a:ln>
          </c:spPr>
          <c:invertIfNegative val="0"/>
          <c:cat>
            <c:numLit>
              <c:formatCode>General</c:formatCode>
              <c:ptCount val="52"/>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numLit>
          </c:cat>
          <c:val>
            <c:numLit>
              <c:formatCode>General</c:formatCode>
              <c:ptCount val="52"/>
              <c:pt idx="0">
                <c:v>-2.0410984295465436E-3</c:v>
              </c:pt>
              <c:pt idx="1">
                <c:v>1.2103074985121925E-2</c:v>
              </c:pt>
              <c:pt idx="2">
                <c:v>2.7682128948473075E-2</c:v>
              </c:pt>
              <c:pt idx="3">
                <c:v>3.0021159234269068E-2</c:v>
              </c:pt>
              <c:pt idx="4">
                <c:v>2.1561256640421043E-2</c:v>
              </c:pt>
              <c:pt idx="5">
                <c:v>5.9370503584097477E-2</c:v>
              </c:pt>
              <c:pt idx="6">
                <c:v>4.6514730058427142E-2</c:v>
              </c:pt>
              <c:pt idx="7">
                <c:v>2.6152498407005703E-2</c:v>
              </c:pt>
              <c:pt idx="8">
                <c:v>5.000419753526484E-2</c:v>
              </c:pt>
              <c:pt idx="9">
                <c:v>2.3343585256311656E-2</c:v>
              </c:pt>
              <c:pt idx="10">
                <c:v>2.8198198205832515E-2</c:v>
              </c:pt>
              <c:pt idx="11">
                <c:v>2.5403326874723804E-3</c:v>
              </c:pt>
              <c:pt idx="12">
                <c:v>-8.2518892947356509E-4</c:v>
              </c:pt>
              <c:pt idx="13">
                <c:v>2.6272818061554751E-2</c:v>
              </c:pt>
              <c:pt idx="14">
                <c:v>7.6908104416236772E-2</c:v>
              </c:pt>
              <c:pt idx="15">
                <c:v>1.8284454125236542E-2</c:v>
              </c:pt>
              <c:pt idx="16">
                <c:v>6.2417631824679534E-2</c:v>
              </c:pt>
              <c:pt idx="17">
                <c:v>-7.1459272951741523E-3</c:v>
              </c:pt>
              <c:pt idx="18">
                <c:v>2.0831104337864774E-2</c:v>
              </c:pt>
              <c:pt idx="19">
                <c:v>-1.2499521258862615E-2</c:v>
              </c:pt>
              <c:pt idx="20">
                <c:v>5.6524667244184063E-2</c:v>
              </c:pt>
              <c:pt idx="21">
                <c:v>0.1235316662826601</c:v>
              </c:pt>
              <c:pt idx="22">
                <c:v>8.2271009616573132E-2</c:v>
              </c:pt>
              <c:pt idx="23">
                <c:v>3.4300950620035714E-2</c:v>
              </c:pt>
              <c:pt idx="24">
                <c:v>8.2675791902581161E-2</c:v>
              </c:pt>
              <c:pt idx="25">
                <c:v>4.4059460313099347E-2</c:v>
              </c:pt>
              <c:pt idx="26">
                <c:v>-4.568842451311201E-2</c:v>
              </c:pt>
              <c:pt idx="27">
                <c:v>6.9581026319175503E-3</c:v>
              </c:pt>
              <c:pt idx="28">
                <c:v>-9.0841791997774174E-2</c:v>
              </c:pt>
              <c:pt idx="29">
                <c:v>-1.4648606420137196E-2</c:v>
              </c:pt>
              <c:pt idx="30">
                <c:v>-4.6610610491340451E-2</c:v>
              </c:pt>
              <c:pt idx="31">
                <c:v>9.9753118619371611E-4</c:v>
              </c:pt>
              <c:pt idx="32">
                <c:v>1.6265302478490791E-2</c:v>
              </c:pt>
              <c:pt idx="33">
                <c:v>2.3270802399226756E-2</c:v>
              </c:pt>
              <c:pt idx="34">
                <c:v>-7.1545921214432335E-3</c:v>
              </c:pt>
              <c:pt idx="35">
                <c:v>5.8266091214549658E-3</c:v>
              </c:pt>
              <c:pt idx="36">
                <c:v>2.6361135542797075E-2</c:v>
              </c:pt>
              <c:pt idx="37">
                <c:v>6.922438523680513E-2</c:v>
              </c:pt>
              <c:pt idx="38">
                <c:v>9.0099732693555735E-3</c:v>
              </c:pt>
              <c:pt idx="39">
                <c:v>-1.3024940579309894E-2</c:v>
              </c:pt>
              <c:pt idx="40">
                <c:v>2.9979619638128015E-2</c:v>
              </c:pt>
              <c:pt idx="41">
                <c:v>3.1794943295532327E-2</c:v>
              </c:pt>
              <c:pt idx="42">
                <c:v>-3.4695419872551092E-2</c:v>
              </c:pt>
              <c:pt idx="43">
                <c:v>-3.5259094645031283E-2</c:v>
              </c:pt>
              <c:pt idx="44">
                <c:v>-7.8436724316130087E-3</c:v>
              </c:pt>
              <c:pt idx="45">
                <c:v>2.8046167235963679E-3</c:v>
              </c:pt>
              <c:pt idx="46">
                <c:v>-5.8544230804715124E-3</c:v>
              </c:pt>
              <c:pt idx="47">
                <c:v>4.2004442533467447E-2</c:v>
              </c:pt>
              <c:pt idx="48">
                <c:v>-1.4333578096034565E-2</c:v>
              </c:pt>
              <c:pt idx="49">
                <c:v>-3.398080172084204E-3</c:v>
              </c:pt>
              <c:pt idx="50">
                <c:v>1.4819407207524752E-2</c:v>
              </c:pt>
              <c:pt idx="51">
                <c:v>3.5564316846645773E-3</c:v>
              </c:pt>
            </c:numLit>
          </c:val>
          <c:extLst>
            <c:ext xmlns:c16="http://schemas.microsoft.com/office/drawing/2014/chart" uri="{C3380CC4-5D6E-409C-BE32-E72D297353CC}">
              <c16:uniqueId val="{00000000-CF62-4C7B-B971-30B5E5B0317C}"/>
            </c:ext>
          </c:extLst>
        </c:ser>
        <c:dLbls>
          <c:showLegendKey val="0"/>
          <c:showVal val="0"/>
          <c:showCatName val="0"/>
          <c:showSerName val="0"/>
          <c:showPercent val="0"/>
          <c:showBubbleSize val="0"/>
        </c:dLbls>
        <c:gapWidth val="150"/>
        <c:axId val="2125500144"/>
        <c:axId val="2126602384"/>
      </c:barChart>
      <c:lineChart>
        <c:grouping val="standard"/>
        <c:varyColors val="0"/>
        <c:ser>
          <c:idx val="0"/>
          <c:order val="0"/>
          <c:tx>
            <c:v>External Debt</c:v>
          </c:tx>
          <c:spPr>
            <a:ln>
              <a:solidFill>
                <a:sysClr val="windowText" lastClr="000000"/>
              </a:solidFill>
              <a:prstDash val="dash"/>
            </a:ln>
          </c:spPr>
          <c:marker>
            <c:symbol val="none"/>
          </c:marker>
          <c:cat>
            <c:numLit>
              <c:formatCode>General</c:formatCode>
              <c:ptCount val="52"/>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numLit>
          </c:cat>
          <c:val>
            <c:numLit>
              <c:formatCode>General</c:formatCode>
              <c:ptCount val="52"/>
              <c:pt idx="0">
                <c:v>-1.7496090892223598E-3</c:v>
              </c:pt>
              <c:pt idx="1">
                <c:v>-2.5966988548361734E-3</c:v>
              </c:pt>
              <c:pt idx="2">
                <c:v>8.3091415297817904E-3</c:v>
              </c:pt>
              <c:pt idx="3">
                <c:v>1.5537854495107419E-2</c:v>
              </c:pt>
              <c:pt idx="4">
                <c:v>1.9872494153017072E-2</c:v>
              </c:pt>
              <c:pt idx="5">
                <c:v>4.747626657932337E-2</c:v>
              </c:pt>
              <c:pt idx="6">
                <c:v>3.3536201280721926E-2</c:v>
              </c:pt>
              <c:pt idx="7">
                <c:v>2.546487589295502E-2</c:v>
              </c:pt>
              <c:pt idx="8">
                <c:v>2.7544731619315994E-2</c:v>
              </c:pt>
              <c:pt idx="9">
                <c:v>1.0076457284181786E-2</c:v>
              </c:pt>
              <c:pt idx="10">
                <c:v>-1.0938627817672394E-3</c:v>
              </c:pt>
              <c:pt idx="11">
                <c:v>-2.0393001104121945E-2</c:v>
              </c:pt>
              <c:pt idx="12">
                <c:v>-1.6689807298734916E-2</c:v>
              </c:pt>
              <c:pt idx="13">
                <c:v>1.1650418986991606E-3</c:v>
              </c:pt>
              <c:pt idx="14">
                <c:v>5.8277740972029778E-2</c:v>
              </c:pt>
              <c:pt idx="15">
                <c:v>-1.3236345524270518E-2</c:v>
              </c:pt>
              <c:pt idx="16">
                <c:v>1.8098621333420637E-2</c:v>
              </c:pt>
              <c:pt idx="17">
                <c:v>-3.6741300820698923E-2</c:v>
              </c:pt>
              <c:pt idx="18">
                <c:v>-8.2829591909522309E-3</c:v>
              </c:pt>
              <c:pt idx="19">
                <c:v>-2.3092306511305134E-2</c:v>
              </c:pt>
              <c:pt idx="20">
                <c:v>5.6286625625997282E-2</c:v>
              </c:pt>
              <c:pt idx="21">
                <c:v>9.7297172700883297E-2</c:v>
              </c:pt>
              <c:pt idx="22">
                <c:v>5.6473757171117425E-2</c:v>
              </c:pt>
              <c:pt idx="23">
                <c:v>1.8742410522145536E-2</c:v>
              </c:pt>
              <c:pt idx="24">
                <c:v>5.393212848099415E-2</c:v>
              </c:pt>
              <c:pt idx="25">
                <c:v>9.9435305324601271E-3</c:v>
              </c:pt>
              <c:pt idx="26">
                <c:v>-5.723691505670029E-2</c:v>
              </c:pt>
              <c:pt idx="27">
                <c:v>-1.0647206708863285E-2</c:v>
              </c:pt>
              <c:pt idx="28">
                <c:v>-0.10711216954506059</c:v>
              </c:pt>
              <c:pt idx="29">
                <c:v>-2.1429823671549789E-2</c:v>
              </c:pt>
              <c:pt idx="30">
                <c:v>-6.860313106931773E-2</c:v>
              </c:pt>
              <c:pt idx="31">
                <c:v>-1.5819363366767234E-2</c:v>
              </c:pt>
              <c:pt idx="32">
                <c:v>-6.3952786072064508E-3</c:v>
              </c:pt>
              <c:pt idx="33">
                <c:v>6.2908485963045647E-3</c:v>
              </c:pt>
              <c:pt idx="34">
                <c:v>-7.3066599053225323E-3</c:v>
              </c:pt>
              <c:pt idx="35">
                <c:v>-2.145868944005147E-3</c:v>
              </c:pt>
              <c:pt idx="36">
                <c:v>1.916502204599449E-2</c:v>
              </c:pt>
              <c:pt idx="37">
                <c:v>6.5217053308171832E-2</c:v>
              </c:pt>
              <c:pt idx="38">
                <c:v>1.2250965246539023E-2</c:v>
              </c:pt>
              <c:pt idx="39">
                <c:v>-1.5222953465553217E-2</c:v>
              </c:pt>
              <c:pt idx="40">
                <c:v>3.1091509432367197E-2</c:v>
              </c:pt>
              <c:pt idx="41">
                <c:v>3.1916565352293909E-3</c:v>
              </c:pt>
              <c:pt idx="42">
                <c:v>-4.2837541833520183E-2</c:v>
              </c:pt>
              <c:pt idx="43">
                <c:v>-3.8448201633567186E-2</c:v>
              </c:pt>
              <c:pt idx="44">
                <c:v>-2.1016380406998665E-2</c:v>
              </c:pt>
              <c:pt idx="45">
                <c:v>-1.9017893933090113E-2</c:v>
              </c:pt>
              <c:pt idx="46">
                <c:v>-1.8611188487500409E-2</c:v>
              </c:pt>
              <c:pt idx="47">
                <c:v>1.0030330531062483E-2</c:v>
              </c:pt>
              <c:pt idx="48">
                <c:v>-1.6638857102458725E-2</c:v>
              </c:pt>
              <c:pt idx="49">
                <c:v>-1.4818111345516707E-2</c:v>
              </c:pt>
              <c:pt idx="50">
                <c:v>-2.7032412943910275E-3</c:v>
              </c:pt>
              <c:pt idx="51">
                <c:v>3.7573628360417256E-3</c:v>
              </c:pt>
            </c:numLit>
          </c:val>
          <c:smooth val="0"/>
          <c:extLst>
            <c:ext xmlns:c16="http://schemas.microsoft.com/office/drawing/2014/chart" uri="{C3380CC4-5D6E-409C-BE32-E72D297353CC}">
              <c16:uniqueId val="{00000001-CF62-4C7B-B971-30B5E5B0317C}"/>
            </c:ext>
          </c:extLst>
        </c:ser>
        <c:ser>
          <c:idx val="1"/>
          <c:order val="1"/>
          <c:tx>
            <c:v>Change in monetary base</c:v>
          </c:tx>
          <c:spPr>
            <a:ln>
              <a:solidFill>
                <a:sysClr val="windowText" lastClr="000000"/>
              </a:solidFill>
              <a:prstDash val="sysDot"/>
            </a:ln>
          </c:spPr>
          <c:marker>
            <c:symbol val="none"/>
          </c:marker>
          <c:cat>
            <c:numLit>
              <c:formatCode>General</c:formatCode>
              <c:ptCount val="52"/>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numLit>
          </c:cat>
          <c:val>
            <c:numLit>
              <c:formatCode>General</c:formatCode>
              <c:ptCount val="52"/>
              <c:pt idx="0">
                <c:v>-4.1620856553350322E-3</c:v>
              </c:pt>
              <c:pt idx="1">
                <c:v>1.0408721237318772E-2</c:v>
              </c:pt>
              <c:pt idx="2">
                <c:v>1.2258669631175181E-2</c:v>
              </c:pt>
              <c:pt idx="3">
                <c:v>5.6339370638831543E-3</c:v>
              </c:pt>
              <c:pt idx="4">
                <c:v>-1.5464032586697263E-3</c:v>
              </c:pt>
              <c:pt idx="5">
                <c:v>3.1272115559478342E-3</c:v>
              </c:pt>
              <c:pt idx="6">
                <c:v>6.0283559832402384E-3</c:v>
              </c:pt>
              <c:pt idx="7">
                <c:v>-3.8711649803380571E-3</c:v>
              </c:pt>
              <c:pt idx="8">
                <c:v>1.4818975768688347E-2</c:v>
              </c:pt>
              <c:pt idx="9">
                <c:v>3.9535807323587413E-4</c:v>
              </c:pt>
              <c:pt idx="10">
                <c:v>1.2211151225587316E-2</c:v>
              </c:pt>
              <c:pt idx="11">
                <c:v>-1.1559127513697531E-3</c:v>
              </c:pt>
              <c:pt idx="12">
                <c:v>-1.583034140684722E-2</c:v>
              </c:pt>
              <c:pt idx="13">
                <c:v>9.2330296668436396E-3</c:v>
              </c:pt>
              <c:pt idx="14">
                <c:v>6.2422654587475368E-3</c:v>
              </c:pt>
              <c:pt idx="15">
                <c:v>8.1595063159942971E-3</c:v>
              </c:pt>
              <c:pt idx="16">
                <c:v>1.1762029541630692E-2</c:v>
              </c:pt>
              <c:pt idx="17">
                <c:v>-2.1492693229125337E-2</c:v>
              </c:pt>
              <c:pt idx="18">
                <c:v>6.8539725022387366E-4</c:v>
              </c:pt>
              <c:pt idx="19">
                <c:v>-9.1012260023319996E-3</c:v>
              </c:pt>
              <c:pt idx="20">
                <c:v>-7.9667982739301535E-3</c:v>
              </c:pt>
              <c:pt idx="21">
                <c:v>1.5484181013626405E-2</c:v>
              </c:pt>
              <c:pt idx="22">
                <c:v>-6.1264056544320239E-3</c:v>
              </c:pt>
              <c:pt idx="23">
                <c:v>-1.1420453533956806E-2</c:v>
              </c:pt>
              <c:pt idx="24">
                <c:v>3.2290533242065184E-3</c:v>
              </c:pt>
              <c:pt idx="25">
                <c:v>6.633658452361163E-4</c:v>
              </c:pt>
              <c:pt idx="26">
                <c:v>-1.0351083663226207E-2</c:v>
              </c:pt>
              <c:pt idx="27">
                <c:v>-1.0542688488984847E-2</c:v>
              </c:pt>
              <c:pt idx="28">
                <c:v>-1.4656627569595126E-2</c:v>
              </c:pt>
              <c:pt idx="29">
                <c:v>-3.8289264244923821E-3</c:v>
              </c:pt>
              <c:pt idx="30">
                <c:v>9.7094365876384259E-3</c:v>
              </c:pt>
              <c:pt idx="31">
                <c:v>-7.0052493455909082E-4</c:v>
              </c:pt>
              <c:pt idx="32">
                <c:v>6.233067811927645E-3</c:v>
              </c:pt>
              <c:pt idx="33">
                <c:v>3.2749872924294626E-3</c:v>
              </c:pt>
              <c:pt idx="34">
                <c:v>-8.1917300061040699E-3</c:v>
              </c:pt>
              <c:pt idx="35">
                <c:v>-2.0910061035459004E-4</c:v>
              </c:pt>
              <c:pt idx="36">
                <c:v>-3.6352694890445653E-3</c:v>
              </c:pt>
              <c:pt idx="37">
                <c:v>9.2753640442344576E-4</c:v>
              </c:pt>
              <c:pt idx="38">
                <c:v>-7.9596053561067914E-3</c:v>
              </c:pt>
              <c:pt idx="39">
                <c:v>-2.9344608592270921E-3</c:v>
              </c:pt>
              <c:pt idx="40">
                <c:v>-1.0143324751888304E-2</c:v>
              </c:pt>
              <c:pt idx="41">
                <c:v>2.113276071423862E-2</c:v>
              </c:pt>
              <c:pt idx="42">
                <c:v>2.8018435536893288E-3</c:v>
              </c:pt>
              <c:pt idx="43">
                <c:v>-6.0099850460981347E-3</c:v>
              </c:pt>
              <c:pt idx="44">
                <c:v>1.2487325891835099E-3</c:v>
              </c:pt>
              <c:pt idx="45">
                <c:v>1.3453397111602414E-2</c:v>
              </c:pt>
              <c:pt idx="46">
                <c:v>1.0601917844805797E-3</c:v>
              </c:pt>
              <c:pt idx="47">
                <c:v>3.4075699503982773E-2</c:v>
              </c:pt>
              <c:pt idx="48">
                <c:v>-2.0203431365306987E-2</c:v>
              </c:pt>
              <c:pt idx="49">
                <c:v>2.0337195200733765E-3</c:v>
              </c:pt>
              <c:pt idx="50">
                <c:v>1.4635595095278772E-2</c:v>
              </c:pt>
              <c:pt idx="51">
                <c:v>-1.9702199769829204E-2</c:v>
              </c:pt>
            </c:numLit>
          </c:val>
          <c:smooth val="0"/>
          <c:extLst>
            <c:ext xmlns:c16="http://schemas.microsoft.com/office/drawing/2014/chart" uri="{C3380CC4-5D6E-409C-BE32-E72D297353CC}">
              <c16:uniqueId val="{00000002-CF62-4C7B-B971-30B5E5B0317C}"/>
            </c:ext>
          </c:extLst>
        </c:ser>
        <c:ser>
          <c:idx val="3"/>
          <c:order val="2"/>
          <c:tx>
            <c:v>Seigniorage</c:v>
          </c:tx>
          <c:spPr>
            <a:ln>
              <a:solidFill>
                <a:sysClr val="windowText" lastClr="000000"/>
              </a:solidFill>
            </a:ln>
          </c:spPr>
          <c:marker>
            <c:symbol val="none"/>
          </c:marker>
          <c:cat>
            <c:numLit>
              <c:formatCode>General</c:formatCode>
              <c:ptCount val="52"/>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numLit>
          </c:cat>
          <c:val>
            <c:numLit>
              <c:formatCode>General</c:formatCode>
              <c:ptCount val="52"/>
              <c:pt idx="0">
                <c:v>3.8705963150108482E-3</c:v>
              </c:pt>
              <c:pt idx="1">
                <c:v>4.2910526026393274E-3</c:v>
              </c:pt>
              <c:pt idx="2">
                <c:v>7.1143177875161038E-3</c:v>
              </c:pt>
              <c:pt idx="3">
                <c:v>8.8493676752784949E-3</c:v>
              </c:pt>
              <c:pt idx="4">
                <c:v>3.2351657460736975E-3</c:v>
              </c:pt>
              <c:pt idx="5">
                <c:v>8.7670254488262708E-3</c:v>
              </c:pt>
              <c:pt idx="6">
                <c:v>6.9501727944649748E-3</c:v>
              </c:pt>
              <c:pt idx="7">
                <c:v>4.5587874943887382E-3</c:v>
              </c:pt>
              <c:pt idx="8">
                <c:v>7.6404901472605048E-3</c:v>
              </c:pt>
              <c:pt idx="9">
                <c:v>1.2871769898893996E-2</c:v>
              </c:pt>
              <c:pt idx="10">
                <c:v>1.7080909762012438E-2</c:v>
              </c:pt>
              <c:pt idx="11">
                <c:v>2.4089246542964078E-2</c:v>
              </c:pt>
              <c:pt idx="12">
                <c:v>3.1694959776108568E-2</c:v>
              </c:pt>
              <c:pt idx="13">
                <c:v>1.5874746496011949E-2</c:v>
              </c:pt>
              <c:pt idx="14">
                <c:v>1.2388097985459453E-2</c:v>
              </c:pt>
              <c:pt idx="15">
                <c:v>2.3361293333512764E-2</c:v>
              </c:pt>
              <c:pt idx="16">
                <c:v>3.2556980949628202E-2</c:v>
              </c:pt>
              <c:pt idx="17">
                <c:v>5.1088066754650108E-2</c:v>
              </c:pt>
              <c:pt idx="18">
                <c:v>2.8428666278593129E-2</c:v>
              </c:pt>
              <c:pt idx="19">
                <c:v>1.9694011254774515E-2</c:v>
              </c:pt>
              <c:pt idx="20">
                <c:v>8.2048398921169309E-3</c:v>
              </c:pt>
              <c:pt idx="21">
                <c:v>1.07503125681504E-2</c:v>
              </c:pt>
              <c:pt idx="22">
                <c:v>3.1923658099887731E-2</c:v>
              </c:pt>
              <c:pt idx="23">
                <c:v>2.6978993631846988E-2</c:v>
              </c:pt>
              <c:pt idx="24">
                <c:v>2.5514610097380493E-2</c:v>
              </c:pt>
              <c:pt idx="25">
                <c:v>3.3452563935403107E-2</c:v>
              </c:pt>
              <c:pt idx="26">
                <c:v>2.189957420681448E-2</c:v>
              </c:pt>
              <c:pt idx="27">
                <c:v>2.8147997829765684E-2</c:v>
              </c:pt>
              <c:pt idx="28">
                <c:v>3.0927005116881533E-2</c:v>
              </c:pt>
              <c:pt idx="29">
                <c:v>1.0610143675904975E-2</c:v>
              </c:pt>
              <c:pt idx="30">
                <c:v>1.2283083990338856E-2</c:v>
              </c:pt>
              <c:pt idx="31">
                <c:v>1.7517419487520041E-2</c:v>
              </c:pt>
              <c:pt idx="32">
                <c:v>1.6427513273769595E-2</c:v>
              </c:pt>
              <c:pt idx="33">
                <c:v>1.3704966510492729E-2</c:v>
              </c:pt>
              <c:pt idx="34">
                <c:v>8.3437977899833687E-3</c:v>
              </c:pt>
              <c:pt idx="35">
                <c:v>8.1815786758147029E-3</c:v>
              </c:pt>
              <c:pt idx="36">
                <c:v>1.0831382985847151E-2</c:v>
              </c:pt>
              <c:pt idx="37">
                <c:v>3.0797955242098515E-3</c:v>
              </c:pt>
              <c:pt idx="38">
                <c:v>4.7186133789233423E-3</c:v>
              </c:pt>
              <c:pt idx="39">
                <c:v>5.1324737454704174E-3</c:v>
              </c:pt>
              <c:pt idx="40">
                <c:v>9.0314349576491228E-3</c:v>
              </c:pt>
              <c:pt idx="41">
                <c:v>7.4705260460643137E-3</c:v>
              </c:pt>
              <c:pt idx="42">
                <c:v>5.340278407279765E-3</c:v>
              </c:pt>
              <c:pt idx="43">
                <c:v>9.1990920346340342E-3</c:v>
              </c:pt>
              <c:pt idx="44">
                <c:v>1.1923975386202147E-2</c:v>
              </c:pt>
              <c:pt idx="45">
                <c:v>8.3691135450840674E-3</c:v>
              </c:pt>
              <c:pt idx="46">
                <c:v>1.1696573622548317E-2</c:v>
              </c:pt>
              <c:pt idx="47">
                <c:v>-2.1015875015778082E-3</c:v>
              </c:pt>
              <c:pt idx="48">
                <c:v>2.2508710371731151E-2</c:v>
              </c:pt>
              <c:pt idx="49">
                <c:v>9.3863116533591268E-3</c:v>
              </c:pt>
              <c:pt idx="50">
                <c:v>2.8870534066370076E-3</c:v>
              </c:pt>
              <c:pt idx="51">
                <c:v>1.9501268618452056E-2</c:v>
              </c:pt>
            </c:numLit>
          </c:val>
          <c:smooth val="0"/>
          <c:extLst>
            <c:ext xmlns:c16="http://schemas.microsoft.com/office/drawing/2014/chart" uri="{C3380CC4-5D6E-409C-BE32-E72D297353CC}">
              <c16:uniqueId val="{00000003-CF62-4C7B-B971-30B5E5B0317C}"/>
            </c:ext>
          </c:extLst>
        </c:ser>
        <c:dLbls>
          <c:showLegendKey val="0"/>
          <c:showVal val="0"/>
          <c:showCatName val="0"/>
          <c:showSerName val="0"/>
          <c:showPercent val="0"/>
          <c:showBubbleSize val="0"/>
        </c:dLbls>
        <c:marker val="1"/>
        <c:smooth val="0"/>
        <c:axId val="2125500144"/>
        <c:axId val="2126602384"/>
      </c:lineChart>
      <c:catAx>
        <c:axId val="2125500144"/>
        <c:scaling>
          <c:orientation val="minMax"/>
        </c:scaling>
        <c:delete val="0"/>
        <c:axPos val="b"/>
        <c:numFmt formatCode="General" sourceLinked="1"/>
        <c:majorTickMark val="out"/>
        <c:minorTickMark val="none"/>
        <c:tickLblPos val="low"/>
        <c:txPr>
          <a:bodyPr rot="-5400000" vert="horz"/>
          <a:lstStyle/>
          <a:p>
            <a:pPr>
              <a:defRPr sz="800"/>
            </a:pPr>
            <a:endParaRPr lang="en-US"/>
          </a:p>
        </c:txPr>
        <c:crossAx val="2126602384"/>
        <c:crosses val="autoZero"/>
        <c:auto val="1"/>
        <c:lblAlgn val="ctr"/>
        <c:lblOffset val="100"/>
        <c:noMultiLvlLbl val="0"/>
      </c:catAx>
      <c:valAx>
        <c:axId val="2126602384"/>
        <c:scaling>
          <c:orientation val="minMax"/>
        </c:scaling>
        <c:delete val="0"/>
        <c:axPos val="l"/>
        <c:numFmt formatCode="0%" sourceLinked="0"/>
        <c:majorTickMark val="out"/>
        <c:minorTickMark val="none"/>
        <c:tickLblPos val="nextTo"/>
        <c:txPr>
          <a:bodyPr/>
          <a:lstStyle/>
          <a:p>
            <a:pPr>
              <a:defRPr sz="800"/>
            </a:pPr>
            <a:endParaRPr lang="en-US"/>
          </a:p>
        </c:txPr>
        <c:crossAx val="2125500144"/>
        <c:crosses val="autoZero"/>
        <c:crossBetween val="between"/>
      </c:valAx>
    </c:plotArea>
    <c:legend>
      <c:legendPos val="b"/>
      <c:overlay val="0"/>
    </c:legend>
    <c:plotVisOnly val="1"/>
    <c:dispBlanksAs val="gap"/>
    <c:showDLblsOverMax val="0"/>
  </c:chart>
  <c:spPr>
    <a:ln>
      <a:noFill/>
    </a:ln>
  </c:spPr>
  <c:txPr>
    <a:bodyPr/>
    <a:lstStyle/>
    <a:p>
      <a:pPr>
        <a:defRPr>
          <a:latin typeface="Humanst521 BT" panose="020B0602020204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9736167215171705E-2"/>
          <c:y val="5.0925925925925902E-2"/>
          <c:w val="0.90100839586445902"/>
          <c:h val="0.80639214914394697"/>
        </c:manualLayout>
      </c:layout>
      <c:lineChart>
        <c:grouping val="standard"/>
        <c:varyColors val="0"/>
        <c:ser>
          <c:idx val="0"/>
          <c:order val="0"/>
          <c:spPr>
            <a:ln>
              <a:solidFill>
                <a:sysClr val="windowText" lastClr="000000"/>
              </a:solidFill>
            </a:ln>
          </c:spPr>
          <c:marker>
            <c:symbol val="none"/>
          </c:marker>
          <c:cat>
            <c:numRef>
              <c:f>IR!$B$6:$B$60</c:f>
              <c:numCache>
                <c:formatCode>General</c:formatCode>
                <c:ptCount val="55"/>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numCache>
            </c:numRef>
          </c:cat>
          <c:val>
            <c:numRef>
              <c:f>IR!$I$6:$I$60</c:f>
              <c:numCache>
                <c:formatCode>0.0%</c:formatCode>
                <c:ptCount val="55"/>
                <c:pt idx="0">
                  <c:v>1.3542855922582984E-3</c:v>
                </c:pt>
                <c:pt idx="1">
                  <c:v>5.207504836577009E-3</c:v>
                </c:pt>
                <c:pt idx="2">
                  <c:v>1.3307913306074618E-2</c:v>
                </c:pt>
                <c:pt idx="3">
                  <c:v>2.6629906503859338E-2</c:v>
                </c:pt>
                <c:pt idx="4">
                  <c:v>2.5333984269768205E-2</c:v>
                </c:pt>
                <c:pt idx="5">
                  <c:v>2.3237076624148041E-2</c:v>
                </c:pt>
                <c:pt idx="6">
                  <c:v>1.9588696158486504E-2</c:v>
                </c:pt>
                <c:pt idx="7">
                  <c:v>1.6410265626815551E-2</c:v>
                </c:pt>
                <c:pt idx="8">
                  <c:v>2.8784631078566065E-2</c:v>
                </c:pt>
                <c:pt idx="9">
                  <c:v>3.1203808884405083E-2</c:v>
                </c:pt>
                <c:pt idx="10">
                  <c:v>4.2872502691998646E-2</c:v>
                </c:pt>
                <c:pt idx="11">
                  <c:v>6.6735760751118076E-2</c:v>
                </c:pt>
                <c:pt idx="12">
                  <c:v>8.6714779191527896E-2</c:v>
                </c:pt>
                <c:pt idx="13">
                  <c:v>9.2272949879029662E-2</c:v>
                </c:pt>
                <c:pt idx="14">
                  <c:v>0.1084658008427974</c:v>
                </c:pt>
                <c:pt idx="15">
                  <c:v>0.16067804091038509</c:v>
                </c:pt>
                <c:pt idx="16">
                  <c:v>0.22686388149311756</c:v>
                </c:pt>
                <c:pt idx="17">
                  <c:v>0.25201751910354359</c:v>
                </c:pt>
                <c:pt idx="18">
                  <c:v>0.25120219421858198</c:v>
                </c:pt>
                <c:pt idx="19">
                  <c:v>0.21476284480887275</c:v>
                </c:pt>
                <c:pt idx="20">
                  <c:v>0.16948190326414442</c:v>
                </c:pt>
                <c:pt idx="21">
                  <c:v>0.16234017442091961</c:v>
                </c:pt>
                <c:pt idx="22">
                  <c:v>0.12988159765030319</c:v>
                </c:pt>
                <c:pt idx="23">
                  <c:v>0.11343549512156748</c:v>
                </c:pt>
                <c:pt idx="24">
                  <c:v>8.7856165631732763E-2</c:v>
                </c:pt>
                <c:pt idx="25">
                  <c:v>9.192132581570063E-2</c:v>
                </c:pt>
                <c:pt idx="26">
                  <c:v>5.9122317287125338E-2</c:v>
                </c:pt>
                <c:pt idx="27">
                  <c:v>7.479330196003027E-2</c:v>
                </c:pt>
                <c:pt idx="28">
                  <c:v>0.10791377678692478</c:v>
                </c:pt>
                <c:pt idx="29">
                  <c:v>0.14258905285791593</c:v>
                </c:pt>
                <c:pt idx="30">
                  <c:v>8.7606668062284246E-2</c:v>
                </c:pt>
                <c:pt idx="31">
                  <c:v>9.391972976471237E-2</c:v>
                </c:pt>
                <c:pt idx="32">
                  <c:v>0.13323832333306793</c:v>
                </c:pt>
                <c:pt idx="33">
                  <c:v>0.12988564543949555</c:v>
                </c:pt>
                <c:pt idx="34">
                  <c:v>0.12019600205814396</c:v>
                </c:pt>
                <c:pt idx="35">
                  <c:v>8.932309382309539E-2</c:v>
                </c:pt>
                <c:pt idx="36">
                  <c:v>9.3370877435027436E-2</c:v>
                </c:pt>
                <c:pt idx="37">
                  <c:v>0.10702283102589148</c:v>
                </c:pt>
                <c:pt idx="38">
                  <c:v>8.3106740986277641E-2</c:v>
                </c:pt>
                <c:pt idx="39">
                  <c:v>7.555185759486753E-2</c:v>
                </c:pt>
                <c:pt idx="40">
                  <c:v>6.8232107323626209E-2</c:v>
                </c:pt>
                <c:pt idx="41">
                  <c:v>9.9070627214209964E-2</c:v>
                </c:pt>
                <c:pt idx="42">
                  <c:v>0.10887875814022561</c:v>
                </c:pt>
                <c:pt idx="43">
                  <c:v>0.11309428292497983</c:v>
                </c:pt>
                <c:pt idx="44">
                  <c:v>0.13483525118511303</c:v>
                </c:pt>
                <c:pt idx="45">
                  <c:v>0.18315418226906774</c:v>
                </c:pt>
                <c:pt idx="46">
                  <c:v>0.18797740658107365</c:v>
                </c:pt>
                <c:pt idx="47">
                  <c:v>0.26695630691250721</c:v>
                </c:pt>
                <c:pt idx="48">
                  <c:v>0.24420682225529294</c:v>
                </c:pt>
                <c:pt idx="49">
                  <c:v>0.26935096715076234</c:v>
                </c:pt>
                <c:pt idx="50">
                  <c:v>0.26095571741523871</c:v>
                </c:pt>
                <c:pt idx="51">
                  <c:v>0.26543715782360394</c:v>
                </c:pt>
                <c:pt idx="52">
                  <c:v>0.29299177889663819</c:v>
                </c:pt>
                <c:pt idx="53">
                  <c:v>0.25798262901127972</c:v>
                </c:pt>
                <c:pt idx="54">
                  <c:v>0.29413628189727969</c:v>
                </c:pt>
              </c:numCache>
            </c:numRef>
          </c:val>
          <c:smooth val="0"/>
          <c:extLst>
            <c:ext xmlns:c16="http://schemas.microsoft.com/office/drawing/2014/chart" uri="{C3380CC4-5D6E-409C-BE32-E72D297353CC}">
              <c16:uniqueId val="{00000000-41A8-4878-9DD3-DE7DA82D79DA}"/>
            </c:ext>
          </c:extLst>
        </c:ser>
        <c:dLbls>
          <c:showLegendKey val="0"/>
          <c:showVal val="0"/>
          <c:showCatName val="0"/>
          <c:showSerName val="0"/>
          <c:showPercent val="0"/>
          <c:showBubbleSize val="0"/>
        </c:dLbls>
        <c:smooth val="0"/>
        <c:axId val="2125477296"/>
        <c:axId val="2126574304"/>
      </c:lineChart>
      <c:catAx>
        <c:axId val="2125477296"/>
        <c:scaling>
          <c:orientation val="minMax"/>
        </c:scaling>
        <c:delete val="0"/>
        <c:axPos val="b"/>
        <c:numFmt formatCode="General" sourceLinked="1"/>
        <c:majorTickMark val="out"/>
        <c:minorTickMark val="none"/>
        <c:tickLblPos val="low"/>
        <c:txPr>
          <a:bodyPr rot="-5400000" vert="horz"/>
          <a:lstStyle/>
          <a:p>
            <a:pPr>
              <a:defRPr/>
            </a:pPr>
            <a:endParaRPr lang="en-US"/>
          </a:p>
        </c:txPr>
        <c:crossAx val="2126574304"/>
        <c:crosses val="autoZero"/>
        <c:auto val="1"/>
        <c:lblAlgn val="ctr"/>
        <c:lblOffset val="100"/>
        <c:noMultiLvlLbl val="0"/>
      </c:catAx>
      <c:valAx>
        <c:axId val="2126574304"/>
        <c:scaling>
          <c:orientation val="minMax"/>
        </c:scaling>
        <c:delete val="0"/>
        <c:axPos val="l"/>
        <c:title>
          <c:tx>
            <c:rich>
              <a:bodyPr/>
              <a:lstStyle/>
              <a:p>
                <a:pPr>
                  <a:defRPr/>
                </a:pPr>
                <a:r>
                  <a:rPr lang="es-AR" baseline="0"/>
                  <a:t>1994 USD million</a:t>
                </a:r>
                <a:endParaRPr lang="es-AR"/>
              </a:p>
            </c:rich>
          </c:tx>
          <c:layout>
            <c:manualLayout>
              <c:xMode val="edge"/>
              <c:yMode val="edge"/>
              <c:x val="1.2109324084539101E-2"/>
              <c:y val="0.25134828099790901"/>
            </c:manualLayout>
          </c:layout>
          <c:overlay val="0"/>
        </c:title>
        <c:numFmt formatCode="#,##0" sourceLinked="0"/>
        <c:majorTickMark val="out"/>
        <c:minorTickMark val="none"/>
        <c:tickLblPos val="nextTo"/>
        <c:txPr>
          <a:bodyPr/>
          <a:lstStyle/>
          <a:p>
            <a:pPr>
              <a:defRPr baseline="0"/>
            </a:pPr>
            <a:endParaRPr lang="en-US"/>
          </a:p>
        </c:txPr>
        <c:crossAx val="2125477296"/>
        <c:crosses val="autoZero"/>
        <c:crossBetween val="between"/>
      </c:valAx>
    </c:plotArea>
    <c:plotVisOnly val="1"/>
    <c:dispBlanksAs val="gap"/>
    <c:showDLblsOverMax val="0"/>
  </c:chart>
  <c:spPr>
    <a:ln>
      <a:noFill/>
    </a:ln>
  </c:spPr>
  <c:txPr>
    <a:bodyPr/>
    <a:lstStyle/>
    <a:p>
      <a:pPr>
        <a:defRPr sz="1000">
          <a:latin typeface="Humanst521 BT" panose="020B0602020204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4830097925805099E-2"/>
          <c:y val="5.0925925925925902E-2"/>
          <c:w val="0.94591450864789595"/>
          <c:h val="0.80639214914394697"/>
        </c:manualLayout>
      </c:layout>
      <c:lineChart>
        <c:grouping val="standard"/>
        <c:varyColors val="0"/>
        <c:ser>
          <c:idx val="0"/>
          <c:order val="0"/>
          <c:spPr>
            <a:ln>
              <a:solidFill>
                <a:sysClr val="windowText" lastClr="000000"/>
              </a:solidFill>
            </a:ln>
          </c:spPr>
          <c:marker>
            <c:symbol val="none"/>
          </c:marker>
          <c:cat>
            <c:numRef>
              <c:f>RER!$B$6:$B$60</c:f>
              <c:numCache>
                <c:formatCode>General</c:formatCode>
                <c:ptCount val="55"/>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numCache>
            </c:numRef>
          </c:cat>
          <c:val>
            <c:numRef>
              <c:f>RER!$I$5:$I$60</c:f>
              <c:numCache>
                <c:formatCode>#,##0.0</c:formatCode>
                <c:ptCount val="56"/>
                <c:pt idx="0">
                  <c:v>6.7982742665411209</c:v>
                </c:pt>
                <c:pt idx="1">
                  <c:v>6.7610919840396413</c:v>
                </c:pt>
                <c:pt idx="2">
                  <c:v>6.7429501260830271</c:v>
                </c:pt>
                <c:pt idx="3">
                  <c:v>6.8602853923729468</c:v>
                </c:pt>
                <c:pt idx="4">
                  <c:v>6.7982965176957437</c:v>
                </c:pt>
                <c:pt idx="5">
                  <c:v>6.7154172292667411</c:v>
                </c:pt>
                <c:pt idx="6">
                  <c:v>6.7845566292674588</c:v>
                </c:pt>
                <c:pt idx="7">
                  <c:v>6.7156404469183713</c:v>
                </c:pt>
                <c:pt idx="8">
                  <c:v>6.7574705287594146</c:v>
                </c:pt>
                <c:pt idx="9">
                  <c:v>6.8380682633626417</c:v>
                </c:pt>
                <c:pt idx="10">
                  <c:v>6.7853198541021369</c:v>
                </c:pt>
                <c:pt idx="11">
                  <c:v>6.6917338730686939</c:v>
                </c:pt>
                <c:pt idx="12">
                  <c:v>6.5676941995036824</c:v>
                </c:pt>
                <c:pt idx="13">
                  <c:v>6.4498209673480424</c:v>
                </c:pt>
                <c:pt idx="14">
                  <c:v>6.6054046938229183</c:v>
                </c:pt>
                <c:pt idx="15">
                  <c:v>6.6379035818820187</c:v>
                </c:pt>
                <c:pt idx="16">
                  <c:v>6.5061571687616562</c:v>
                </c:pt>
                <c:pt idx="17">
                  <c:v>6.4436705412166075</c:v>
                </c:pt>
                <c:pt idx="18">
                  <c:v>6.1264410621886212</c:v>
                </c:pt>
                <c:pt idx="19">
                  <c:v>6.0652151218706871</c:v>
                </c:pt>
                <c:pt idx="20">
                  <c:v>6.2536082841406966</c:v>
                </c:pt>
                <c:pt idx="21">
                  <c:v>6.6878032468721003</c:v>
                </c:pt>
                <c:pt idx="22">
                  <c:v>7.1890367368348098</c:v>
                </c:pt>
                <c:pt idx="23">
                  <c:v>7.0952661008923226</c:v>
                </c:pt>
                <c:pt idx="24">
                  <c:v>7.4773025413132963</c:v>
                </c:pt>
                <c:pt idx="25">
                  <c:v>7.3908516481909956</c:v>
                </c:pt>
                <c:pt idx="26">
                  <c:v>7.1573516852587211</c:v>
                </c:pt>
                <c:pt idx="27">
                  <c:v>7.1718396143990004</c:v>
                </c:pt>
                <c:pt idx="28">
                  <c:v>7.1601043436201879</c:v>
                </c:pt>
                <c:pt idx="29">
                  <c:v>6.8069735657198285</c:v>
                </c:pt>
                <c:pt idx="30">
                  <c:v>6.8293586331356115</c:v>
                </c:pt>
                <c:pt idx="31">
                  <c:v>6.776964781240614</c:v>
                </c:pt>
                <c:pt idx="32">
                  <c:v>6.7488507609424317</c:v>
                </c:pt>
                <c:pt idx="33">
                  <c:v>6.6438561897747253</c:v>
                </c:pt>
                <c:pt idx="34">
                  <c:v>6.5679543276279801</c:v>
                </c:pt>
                <c:pt idx="35">
                  <c:v>6.5823111122068356</c:v>
                </c:pt>
                <c:pt idx="36">
                  <c:v>6.6789303319458542</c:v>
                </c:pt>
                <c:pt idx="37">
                  <c:v>6.750952898876605</c:v>
                </c:pt>
                <c:pt idx="38">
                  <c:v>6.8970401486584612</c:v>
                </c:pt>
                <c:pt idx="39">
                  <c:v>6.9164357388051503</c:v>
                </c:pt>
                <c:pt idx="40">
                  <c:v>7.2425248564354492</c:v>
                </c:pt>
                <c:pt idx="41">
                  <c:v>7.6142281438747412</c:v>
                </c:pt>
                <c:pt idx="42">
                  <c:v>7.2976492859806132</c:v>
                </c:pt>
                <c:pt idx="43">
                  <c:v>7.3521822515106585</c:v>
                </c:pt>
                <c:pt idx="44">
                  <c:v>7.2451287120596408</c:v>
                </c:pt>
                <c:pt idx="45">
                  <c:v>6.9128986985817482</c:v>
                </c:pt>
                <c:pt idx="46">
                  <c:v>6.7506121839624287</c:v>
                </c:pt>
                <c:pt idx="47">
                  <c:v>6.7618119687466809</c:v>
                </c:pt>
                <c:pt idx="48">
                  <c:v>6.6183604988419606</c:v>
                </c:pt>
                <c:pt idx="49">
                  <c:v>6.5662036708632536</c:v>
                </c:pt>
                <c:pt idx="50">
                  <c:v>6.5262289810581668</c:v>
                </c:pt>
                <c:pt idx="51">
                  <c:v>6.4523668732686232</c:v>
                </c:pt>
                <c:pt idx="52">
                  <c:v>6.5369435210491291</c:v>
                </c:pt>
                <c:pt idx="53">
                  <c:v>6.5131702065402823</c:v>
                </c:pt>
                <c:pt idx="54">
                  <c:v>6.7851758581342638</c:v>
                </c:pt>
                <c:pt idx="55">
                  <c:v>6.6780658847959522</c:v>
                </c:pt>
              </c:numCache>
            </c:numRef>
          </c:val>
          <c:smooth val="0"/>
          <c:extLst>
            <c:ext xmlns:c16="http://schemas.microsoft.com/office/drawing/2014/chart" uri="{C3380CC4-5D6E-409C-BE32-E72D297353CC}">
              <c16:uniqueId val="{00000000-78F7-4A7A-864B-C016BDA137C3}"/>
            </c:ext>
          </c:extLst>
        </c:ser>
        <c:dLbls>
          <c:showLegendKey val="0"/>
          <c:showVal val="0"/>
          <c:showCatName val="0"/>
          <c:showSerName val="0"/>
          <c:showPercent val="0"/>
          <c:showBubbleSize val="0"/>
        </c:dLbls>
        <c:smooth val="0"/>
        <c:axId val="2128006064"/>
        <c:axId val="2124111280"/>
      </c:lineChart>
      <c:catAx>
        <c:axId val="2128006064"/>
        <c:scaling>
          <c:orientation val="minMax"/>
        </c:scaling>
        <c:delete val="0"/>
        <c:axPos val="b"/>
        <c:numFmt formatCode="General" sourceLinked="1"/>
        <c:majorTickMark val="out"/>
        <c:minorTickMark val="none"/>
        <c:tickLblPos val="low"/>
        <c:txPr>
          <a:bodyPr rot="-5400000" vert="horz"/>
          <a:lstStyle/>
          <a:p>
            <a:pPr>
              <a:defRPr/>
            </a:pPr>
            <a:endParaRPr lang="en-US"/>
          </a:p>
        </c:txPr>
        <c:crossAx val="2124111280"/>
        <c:crosses val="autoZero"/>
        <c:auto val="1"/>
        <c:lblAlgn val="ctr"/>
        <c:lblOffset val="100"/>
        <c:noMultiLvlLbl val="0"/>
      </c:catAx>
      <c:valAx>
        <c:axId val="2124111280"/>
        <c:scaling>
          <c:orientation val="minMax"/>
          <c:min val="6"/>
        </c:scaling>
        <c:delete val="0"/>
        <c:axPos val="l"/>
        <c:numFmt formatCode="#,##0" sourceLinked="0"/>
        <c:majorTickMark val="out"/>
        <c:minorTickMark val="none"/>
        <c:tickLblPos val="nextTo"/>
        <c:txPr>
          <a:bodyPr/>
          <a:lstStyle/>
          <a:p>
            <a:pPr>
              <a:defRPr baseline="0"/>
            </a:pPr>
            <a:endParaRPr lang="en-US"/>
          </a:p>
        </c:txPr>
        <c:crossAx val="2128006064"/>
        <c:crosses val="autoZero"/>
        <c:crossBetween val="between"/>
      </c:valAx>
    </c:plotArea>
    <c:plotVisOnly val="1"/>
    <c:dispBlanksAs val="gap"/>
    <c:showDLblsOverMax val="0"/>
  </c:chart>
  <c:spPr>
    <a:ln>
      <a:noFill/>
    </a:ln>
  </c:spPr>
  <c:txPr>
    <a:bodyPr/>
    <a:lstStyle/>
    <a:p>
      <a:pPr>
        <a:defRPr sz="1000">
          <a:latin typeface="Humanst521 BT" panose="020B0602020204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012777777777798E-2"/>
          <c:y val="4.3117283950617299E-2"/>
          <c:w val="0.934584444444444"/>
          <c:h val="0.76870493827160502"/>
        </c:manualLayout>
      </c:layout>
      <c:barChart>
        <c:barDir val="col"/>
        <c:grouping val="clustered"/>
        <c:varyColors val="0"/>
        <c:ser>
          <c:idx val="0"/>
          <c:order val="0"/>
          <c:tx>
            <c:strRef>
              <c:f>'Multiple Exchange rate'!$B$31</c:f>
              <c:strCache>
                <c:ptCount val="1"/>
                <c:pt idx="0">
                  <c:v>Imports of the Central Government</c:v>
                </c:pt>
              </c:strCache>
            </c:strRef>
          </c:tx>
          <c:invertIfNegative val="0"/>
          <c:dLbls>
            <c:delete val="1"/>
          </c:dLbls>
          <c:cat>
            <c:numRef>
              <c:f>'Multiple Exchange rate'!$C$20:$I$20</c:f>
              <c:numCache>
                <c:formatCode>General</c:formatCode>
                <c:ptCount val="7"/>
                <c:pt idx="0">
                  <c:v>1982</c:v>
                </c:pt>
                <c:pt idx="1">
                  <c:v>1983</c:v>
                </c:pt>
                <c:pt idx="2">
                  <c:v>1984</c:v>
                </c:pt>
                <c:pt idx="3">
                  <c:v>1985</c:v>
                </c:pt>
                <c:pt idx="4">
                  <c:v>1986</c:v>
                </c:pt>
                <c:pt idx="5">
                  <c:v>1987</c:v>
                </c:pt>
                <c:pt idx="6">
                  <c:v>1988</c:v>
                </c:pt>
              </c:numCache>
            </c:numRef>
          </c:cat>
          <c:val>
            <c:numRef>
              <c:f>'Multiple Exchange rate'!$C$31:$I$31</c:f>
              <c:numCache>
                <c:formatCode>General</c:formatCode>
                <c:ptCount val="7"/>
                <c:pt idx="0">
                  <c:v>126</c:v>
                </c:pt>
                <c:pt idx="1">
                  <c:v>126</c:v>
                </c:pt>
                <c:pt idx="2">
                  <c:v>160</c:v>
                </c:pt>
                <c:pt idx="3">
                  <c:v>240</c:v>
                </c:pt>
                <c:pt idx="4">
                  <c:v>240</c:v>
                </c:pt>
                <c:pt idx="5">
                  <c:v>400</c:v>
                </c:pt>
                <c:pt idx="6">
                  <c:v>400</c:v>
                </c:pt>
              </c:numCache>
            </c:numRef>
          </c:val>
          <c:extLst>
            <c:ext xmlns:c16="http://schemas.microsoft.com/office/drawing/2014/chart" uri="{C3380CC4-5D6E-409C-BE32-E72D297353CC}">
              <c16:uniqueId val="{00000000-6692-49B4-AC5A-740D93D7E6B9}"/>
            </c:ext>
          </c:extLst>
        </c:ser>
        <c:ser>
          <c:idx val="1"/>
          <c:order val="1"/>
          <c:tx>
            <c:strRef>
              <c:f>'Multiple Exchange rate'!$B$29</c:f>
              <c:strCache>
                <c:ptCount val="1"/>
                <c:pt idx="0">
                  <c:v>FOB Imports of oil and derivates</c:v>
                </c:pt>
              </c:strCache>
            </c:strRef>
          </c:tx>
          <c:spPr>
            <a:solidFill>
              <a:srgbClr val="00B0F0"/>
            </a:solidFill>
          </c:spPr>
          <c:invertIfNegative val="0"/>
          <c:dLbls>
            <c:delete val="1"/>
          </c:dLbls>
          <c:cat>
            <c:numRef>
              <c:f>'Multiple Exchange rate'!$C$20:$I$20</c:f>
              <c:numCache>
                <c:formatCode>General</c:formatCode>
                <c:ptCount val="7"/>
                <c:pt idx="0">
                  <c:v>1982</c:v>
                </c:pt>
                <c:pt idx="1">
                  <c:v>1983</c:v>
                </c:pt>
                <c:pt idx="2">
                  <c:v>1984</c:v>
                </c:pt>
                <c:pt idx="3">
                  <c:v>1985</c:v>
                </c:pt>
                <c:pt idx="4">
                  <c:v>1986</c:v>
                </c:pt>
                <c:pt idx="5">
                  <c:v>1987</c:v>
                </c:pt>
                <c:pt idx="6">
                  <c:v>1988</c:v>
                </c:pt>
              </c:numCache>
            </c:numRef>
          </c:cat>
          <c:val>
            <c:numRef>
              <c:f>'Multiple Exchange rate'!$C$29:$I$29</c:f>
              <c:numCache>
                <c:formatCode>General</c:formatCode>
                <c:ptCount val="7"/>
                <c:pt idx="0">
                  <c:v>126</c:v>
                </c:pt>
                <c:pt idx="1">
                  <c:v>0</c:v>
                </c:pt>
                <c:pt idx="2">
                  <c:v>240</c:v>
                </c:pt>
                <c:pt idx="3">
                  <c:v>160</c:v>
                </c:pt>
                <c:pt idx="4">
                  <c:v>240</c:v>
                </c:pt>
                <c:pt idx="5">
                  <c:v>400</c:v>
                </c:pt>
                <c:pt idx="6">
                  <c:v>400</c:v>
                </c:pt>
              </c:numCache>
            </c:numRef>
          </c:val>
          <c:extLst>
            <c:ext xmlns:c16="http://schemas.microsoft.com/office/drawing/2014/chart" uri="{C3380CC4-5D6E-409C-BE32-E72D297353CC}">
              <c16:uniqueId val="{00000001-6692-49B4-AC5A-740D93D7E6B9}"/>
            </c:ext>
          </c:extLst>
        </c:ser>
        <c:ser>
          <c:idx val="2"/>
          <c:order val="2"/>
          <c:tx>
            <c:strRef>
              <c:f>'Multiple Exchange rate'!$B$30</c:f>
              <c:strCache>
                <c:ptCount val="1"/>
                <c:pt idx="0">
                  <c:v>FOB Imports of the Public Companies</c:v>
                </c:pt>
              </c:strCache>
            </c:strRef>
          </c:tx>
          <c:spPr>
            <a:solidFill>
              <a:srgbClr val="4BACC6">
                <a:lumMod val="60000"/>
                <a:lumOff val="40000"/>
              </a:srgbClr>
            </a:solidFill>
          </c:spPr>
          <c:invertIfNegative val="0"/>
          <c:dLbls>
            <c:delete val="1"/>
          </c:dLbls>
          <c:cat>
            <c:numRef>
              <c:f>'Multiple Exchange rate'!$C$20:$I$20</c:f>
              <c:numCache>
                <c:formatCode>General</c:formatCode>
                <c:ptCount val="7"/>
                <c:pt idx="0">
                  <c:v>1982</c:v>
                </c:pt>
                <c:pt idx="1">
                  <c:v>1983</c:v>
                </c:pt>
                <c:pt idx="2">
                  <c:v>1984</c:v>
                </c:pt>
                <c:pt idx="3">
                  <c:v>1985</c:v>
                </c:pt>
                <c:pt idx="4">
                  <c:v>1986</c:v>
                </c:pt>
                <c:pt idx="5">
                  <c:v>1987</c:v>
                </c:pt>
                <c:pt idx="6">
                  <c:v>1988</c:v>
                </c:pt>
              </c:numCache>
            </c:numRef>
          </c:cat>
          <c:val>
            <c:numRef>
              <c:f>'Multiple Exchange rate'!$C$30:$I$30</c:f>
              <c:numCache>
                <c:formatCode>General</c:formatCode>
                <c:ptCount val="7"/>
                <c:pt idx="0">
                  <c:v>126</c:v>
                </c:pt>
                <c:pt idx="1">
                  <c:v>126</c:v>
                </c:pt>
                <c:pt idx="2">
                  <c:v>160</c:v>
                </c:pt>
                <c:pt idx="3">
                  <c:v>240</c:v>
                </c:pt>
                <c:pt idx="4">
                  <c:v>240</c:v>
                </c:pt>
                <c:pt idx="5">
                  <c:v>240</c:v>
                </c:pt>
                <c:pt idx="6">
                  <c:v>400</c:v>
                </c:pt>
              </c:numCache>
            </c:numRef>
          </c:val>
          <c:extLst>
            <c:ext xmlns:c16="http://schemas.microsoft.com/office/drawing/2014/chart" uri="{C3380CC4-5D6E-409C-BE32-E72D297353CC}">
              <c16:uniqueId val="{00000002-6692-49B4-AC5A-740D93D7E6B9}"/>
            </c:ext>
          </c:extLst>
        </c:ser>
        <c:ser>
          <c:idx val="3"/>
          <c:order val="3"/>
          <c:tx>
            <c:strRef>
              <c:f>'Multiple Exchange rate'!$B$26</c:f>
              <c:strCache>
                <c:ptCount val="1"/>
                <c:pt idx="0">
                  <c:v>Public S. payment</c:v>
                </c:pt>
              </c:strCache>
            </c:strRef>
          </c:tx>
          <c:spPr>
            <a:solidFill>
              <a:srgbClr val="00B050"/>
            </a:solidFill>
          </c:spPr>
          <c:invertIfNegative val="0"/>
          <c:dLbls>
            <c:delete val="1"/>
          </c:dLbls>
          <c:cat>
            <c:numRef>
              <c:f>'Multiple Exchange rate'!$C$20:$I$20</c:f>
              <c:numCache>
                <c:formatCode>General</c:formatCode>
                <c:ptCount val="7"/>
                <c:pt idx="0">
                  <c:v>1982</c:v>
                </c:pt>
                <c:pt idx="1">
                  <c:v>1983</c:v>
                </c:pt>
                <c:pt idx="2">
                  <c:v>1984</c:v>
                </c:pt>
                <c:pt idx="3">
                  <c:v>1985</c:v>
                </c:pt>
                <c:pt idx="4">
                  <c:v>1986</c:v>
                </c:pt>
                <c:pt idx="5">
                  <c:v>1987</c:v>
                </c:pt>
                <c:pt idx="6">
                  <c:v>1988</c:v>
                </c:pt>
              </c:numCache>
            </c:numRef>
          </c:cat>
          <c:val>
            <c:numRef>
              <c:f>'Multiple Exchange rate'!$C$26:$I$26</c:f>
              <c:numCache>
                <c:formatCode>General</c:formatCode>
                <c:ptCount val="7"/>
                <c:pt idx="0">
                  <c:v>126</c:v>
                </c:pt>
                <c:pt idx="1">
                  <c:v>126</c:v>
                </c:pt>
                <c:pt idx="2">
                  <c:v>160</c:v>
                </c:pt>
                <c:pt idx="3">
                  <c:v>160</c:v>
                </c:pt>
                <c:pt idx="4" formatCode="0">
                  <c:v>200</c:v>
                </c:pt>
                <c:pt idx="5" formatCode="0">
                  <c:v>280</c:v>
                </c:pt>
                <c:pt idx="6" formatCode="0">
                  <c:v>400</c:v>
                </c:pt>
              </c:numCache>
            </c:numRef>
          </c:val>
          <c:extLst>
            <c:ext xmlns:c16="http://schemas.microsoft.com/office/drawing/2014/chart" uri="{C3380CC4-5D6E-409C-BE32-E72D297353CC}">
              <c16:uniqueId val="{00000003-6692-49B4-AC5A-740D93D7E6B9}"/>
            </c:ext>
          </c:extLst>
        </c:ser>
        <c:dLbls>
          <c:showLegendKey val="0"/>
          <c:showVal val="1"/>
          <c:showCatName val="0"/>
          <c:showSerName val="0"/>
          <c:showPercent val="0"/>
          <c:showBubbleSize val="0"/>
        </c:dLbls>
        <c:gapWidth val="150"/>
        <c:overlap val="-25"/>
        <c:axId val="2129068720"/>
        <c:axId val="2129072912"/>
      </c:barChart>
      <c:lineChart>
        <c:grouping val="standard"/>
        <c:varyColors val="0"/>
        <c:ser>
          <c:idx val="4"/>
          <c:order val="4"/>
          <c:tx>
            <c:strRef>
              <c:f>'Multiple Exchange rate'!$B$27</c:f>
              <c:strCache>
                <c:ptCount val="1"/>
                <c:pt idx="0">
                  <c:v>Market</c:v>
                </c:pt>
              </c:strCache>
            </c:strRef>
          </c:tx>
          <c:spPr>
            <a:ln w="19050">
              <a:solidFill>
                <a:sysClr val="windowText" lastClr="000000"/>
              </a:solidFill>
              <a:prstDash val="sysDash"/>
            </a:ln>
          </c:spPr>
          <c:marker>
            <c:symbol val="circle"/>
            <c:size val="5"/>
            <c:spPr>
              <a:solidFill>
                <a:sysClr val="windowText" lastClr="000000"/>
              </a:solidFill>
              <a:ln>
                <a:solidFill>
                  <a:sysClr val="windowText" lastClr="000000"/>
                </a:solidFill>
              </a:ln>
            </c:spPr>
          </c:marker>
          <c:dLbls>
            <c:dLbl>
              <c:idx val="0"/>
              <c:tx>
                <c:rich>
                  <a:bodyPr/>
                  <a:lstStyle/>
                  <a:p>
                    <a:fld id="{8B23821B-EA37-4324-866F-1250B2B6A24F}" type="VALUE">
                      <a:rPr lang="en-US" b="1"/>
                      <a:pPr/>
                      <a:t>[VALUE]</a:t>
                    </a:fld>
                    <a:endParaRPr lang="en-US"/>
                  </a:p>
                </c:rich>
              </c:tx>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6692-49B4-AC5A-740D93D7E6B9}"/>
                </c:ext>
              </c:extLst>
            </c:dLbl>
            <c:dLbl>
              <c:idx val="1"/>
              <c:tx>
                <c:rich>
                  <a:bodyPr/>
                  <a:lstStyle/>
                  <a:p>
                    <a:fld id="{AFFD4C97-B399-49FC-B0F3-FA131FF33ED9}" type="VALUE">
                      <a:rPr lang="en-US" b="1"/>
                      <a:pPr/>
                      <a:t>[VALUE]</a:t>
                    </a:fld>
                    <a:endParaRPr lang="en-US"/>
                  </a:p>
                </c:rich>
              </c:tx>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6692-49B4-AC5A-740D93D7E6B9}"/>
                </c:ext>
              </c:extLst>
            </c:dLbl>
            <c:dLbl>
              <c:idx val="2"/>
              <c:tx>
                <c:rich>
                  <a:bodyPr/>
                  <a:lstStyle/>
                  <a:p>
                    <a:fld id="{AA5C0338-3EC7-4BE9-A23F-4BD19D7B346E}" type="VALUE">
                      <a:rPr lang="en-US" b="1"/>
                      <a:pPr/>
                      <a:t>[VALUE]</a:t>
                    </a:fld>
                    <a:endParaRPr lang="en-US"/>
                  </a:p>
                </c:rich>
              </c:tx>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6692-49B4-AC5A-740D93D7E6B9}"/>
                </c:ext>
              </c:extLst>
            </c:dLbl>
            <c:dLbl>
              <c:idx val="3"/>
              <c:tx>
                <c:rich>
                  <a:bodyPr/>
                  <a:lstStyle/>
                  <a:p>
                    <a:fld id="{01544396-D53A-4A77-8074-A4B8FE3525E1}" type="VALUE">
                      <a:rPr lang="en-US" b="1"/>
                      <a:pPr/>
                      <a:t>[VALUE]</a:t>
                    </a:fld>
                    <a:endParaRPr lang="en-US"/>
                  </a:p>
                </c:rich>
              </c:tx>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6692-49B4-AC5A-740D93D7E6B9}"/>
                </c:ext>
              </c:extLst>
            </c:dLbl>
            <c:dLbl>
              <c:idx val="4"/>
              <c:tx>
                <c:rich>
                  <a:bodyPr/>
                  <a:lstStyle/>
                  <a:p>
                    <a:fld id="{83B5F302-5CC6-4EBE-A7AE-43C0CB7DB286}" type="VALUE">
                      <a:rPr lang="en-US" b="1"/>
                      <a:pPr/>
                      <a:t>[VALUE]</a:t>
                    </a:fld>
                    <a:endParaRPr lang="en-US"/>
                  </a:p>
                </c:rich>
              </c:tx>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6692-49B4-AC5A-740D93D7E6B9}"/>
                </c:ext>
              </c:extLst>
            </c:dLbl>
            <c:dLbl>
              <c:idx val="5"/>
              <c:tx>
                <c:rich>
                  <a:bodyPr/>
                  <a:lstStyle/>
                  <a:p>
                    <a:fld id="{114A4C96-6B54-4900-BC0C-A0C8CB996B9B}" type="VALUE">
                      <a:rPr lang="en-US" b="1"/>
                      <a:pPr/>
                      <a:t>[VALUE]</a:t>
                    </a:fld>
                    <a:endParaRPr lang="en-US"/>
                  </a:p>
                </c:rich>
              </c:tx>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6692-49B4-AC5A-740D93D7E6B9}"/>
                </c:ext>
              </c:extLst>
            </c:dLbl>
            <c:dLbl>
              <c:idx val="6"/>
              <c:tx>
                <c:rich>
                  <a:bodyPr/>
                  <a:lstStyle/>
                  <a:p>
                    <a:fld id="{421D93FA-B3E5-479F-937E-5DB40F661815}" type="VALUE">
                      <a:rPr lang="en-US" b="1"/>
                      <a:pPr/>
                      <a:t>[VALUE]</a:t>
                    </a:fld>
                    <a:endParaRPr lang="en-US"/>
                  </a:p>
                </c:rich>
              </c:tx>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6692-49B4-AC5A-740D93D7E6B9}"/>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'Multiple Exchange rate'!$C$20:$I$20</c:f>
              <c:numCache>
                <c:formatCode>General</c:formatCode>
                <c:ptCount val="7"/>
                <c:pt idx="0">
                  <c:v>1982</c:v>
                </c:pt>
                <c:pt idx="1">
                  <c:v>1983</c:v>
                </c:pt>
                <c:pt idx="2">
                  <c:v>1984</c:v>
                </c:pt>
                <c:pt idx="3">
                  <c:v>1985</c:v>
                </c:pt>
                <c:pt idx="4">
                  <c:v>1986</c:v>
                </c:pt>
                <c:pt idx="5">
                  <c:v>1987</c:v>
                </c:pt>
                <c:pt idx="6">
                  <c:v>1988</c:v>
                </c:pt>
              </c:numCache>
            </c:numRef>
          </c:cat>
          <c:val>
            <c:numRef>
              <c:f>'Multiple Exchange rate'!$C$27:$I$27</c:f>
              <c:numCache>
                <c:formatCode>0</c:formatCode>
                <c:ptCount val="7"/>
                <c:pt idx="0">
                  <c:v>205.66666666666666</c:v>
                </c:pt>
                <c:pt idx="1">
                  <c:v>320.75</c:v>
                </c:pt>
                <c:pt idx="2">
                  <c:v>388.25</c:v>
                </c:pt>
                <c:pt idx="3">
                  <c:v>612.5</c:v>
                </c:pt>
                <c:pt idx="4">
                  <c:v>702.5</c:v>
                </c:pt>
                <c:pt idx="5">
                  <c:v>807.25</c:v>
                </c:pt>
                <c:pt idx="6">
                  <c:v>807.25</c:v>
                </c:pt>
              </c:numCache>
            </c:numRef>
          </c:val>
          <c:smooth val="0"/>
          <c:extLst>
            <c:ext xmlns:c16="http://schemas.microsoft.com/office/drawing/2014/chart" uri="{C3380CC4-5D6E-409C-BE32-E72D297353CC}">
              <c16:uniqueId val="{0000000B-6692-49B4-AC5A-740D93D7E6B9}"/>
            </c:ext>
          </c:extLst>
        </c:ser>
        <c:dLbls>
          <c:showLegendKey val="0"/>
          <c:showVal val="1"/>
          <c:showCatName val="0"/>
          <c:showSerName val="0"/>
          <c:showPercent val="0"/>
          <c:showBubbleSize val="0"/>
        </c:dLbls>
        <c:marker val="1"/>
        <c:smooth val="0"/>
        <c:axId val="2129068720"/>
        <c:axId val="2129072912"/>
      </c:lineChart>
      <c:catAx>
        <c:axId val="2129068720"/>
        <c:scaling>
          <c:orientation val="minMax"/>
        </c:scaling>
        <c:delete val="0"/>
        <c:axPos val="b"/>
        <c:numFmt formatCode="General" sourceLinked="1"/>
        <c:majorTickMark val="none"/>
        <c:minorTickMark val="none"/>
        <c:tickLblPos val="low"/>
        <c:txPr>
          <a:bodyPr rot="0" vert="horz"/>
          <a:lstStyle/>
          <a:p>
            <a:pPr>
              <a:defRPr sz="800"/>
            </a:pPr>
            <a:endParaRPr lang="en-US"/>
          </a:p>
        </c:txPr>
        <c:crossAx val="2129072912"/>
        <c:crosses val="autoZero"/>
        <c:auto val="1"/>
        <c:lblAlgn val="ctr"/>
        <c:lblOffset val="100"/>
        <c:noMultiLvlLbl val="0"/>
      </c:catAx>
      <c:valAx>
        <c:axId val="2129072912"/>
        <c:scaling>
          <c:orientation val="minMax"/>
        </c:scaling>
        <c:delete val="0"/>
        <c:axPos val="l"/>
        <c:numFmt formatCode="#,##0" sourceLinked="0"/>
        <c:majorTickMark val="out"/>
        <c:minorTickMark val="none"/>
        <c:tickLblPos val="nextTo"/>
        <c:txPr>
          <a:bodyPr/>
          <a:lstStyle/>
          <a:p>
            <a:pPr>
              <a:defRPr sz="800"/>
            </a:pPr>
            <a:endParaRPr lang="en-US"/>
          </a:p>
        </c:txPr>
        <c:crossAx val="2129068720"/>
        <c:crosses val="autoZero"/>
        <c:crossBetween val="between"/>
      </c:valAx>
    </c:plotArea>
    <c:legend>
      <c:legendPos val="b"/>
      <c:layout>
        <c:manualLayout>
          <c:xMode val="edge"/>
          <c:yMode val="edge"/>
          <c:x val="9.67334722222222E-2"/>
          <c:y val="0.89155679012345701"/>
          <c:w val="0.80300513888888903"/>
          <c:h val="8.4924691358024704E-2"/>
        </c:manualLayout>
      </c:layout>
      <c:overlay val="0"/>
    </c:legend>
    <c:plotVisOnly val="1"/>
    <c:dispBlanksAs val="gap"/>
    <c:showDLblsOverMax val="0"/>
  </c:chart>
  <c:spPr>
    <a:ln>
      <a:noFill/>
    </a:ln>
  </c:spPr>
  <c:txPr>
    <a:bodyPr/>
    <a:lstStyle/>
    <a:p>
      <a:pPr>
        <a:defRPr>
          <a:latin typeface="Humanst521 BT" panose="020B0602020204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567104203432606E-2"/>
          <c:y val="9.5082432996319799E-2"/>
          <c:w val="0.90238852600806996"/>
          <c:h val="0.76225207480842205"/>
        </c:manualLayout>
      </c:layout>
      <c:lineChart>
        <c:grouping val="standard"/>
        <c:varyColors val="0"/>
        <c:ser>
          <c:idx val="0"/>
          <c:order val="0"/>
          <c:spPr>
            <a:ln w="28575" cap="rnd">
              <a:solidFill>
                <a:schemeClr val="tx1"/>
              </a:solidFill>
              <a:round/>
            </a:ln>
            <a:effectLst/>
          </c:spPr>
          <c:marker>
            <c:symbol val="none"/>
          </c:marker>
          <c:cat>
            <c:numRef>
              <c:f>'Credits to the Private Sector'!$B$5:$B$61</c:f>
              <c:numCache>
                <c:formatCode>General</c:formatCode>
                <c:ptCount val="57"/>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numCache>
            </c:numRef>
          </c:cat>
          <c:val>
            <c:numRef>
              <c:f>'Credits to the Private Sector'!$F$5:$F$61</c:f>
              <c:numCache>
                <c:formatCode>0%</c:formatCode>
                <c:ptCount val="57"/>
                <c:pt idx="0">
                  <c:v>9.0707553519072948E-2</c:v>
                </c:pt>
                <c:pt idx="1">
                  <c:v>5.1186866202367114E-2</c:v>
                </c:pt>
                <c:pt idx="2">
                  <c:v>5.9141894648415613E-2</c:v>
                </c:pt>
                <c:pt idx="3">
                  <c:v>6.9337931731045493E-2</c:v>
                </c:pt>
                <c:pt idx="4">
                  <c:v>8.2809755775844596E-2</c:v>
                </c:pt>
                <c:pt idx="5">
                  <c:v>9.4334493507320025E-2</c:v>
                </c:pt>
                <c:pt idx="6">
                  <c:v>0.11390015582147921</c:v>
                </c:pt>
                <c:pt idx="7">
                  <c:v>0.13671508425640511</c:v>
                </c:pt>
                <c:pt idx="8">
                  <c:v>0.15072314349125279</c:v>
                </c:pt>
                <c:pt idx="9">
                  <c:v>0.17940108056959653</c:v>
                </c:pt>
                <c:pt idx="10">
                  <c:v>0.19450846477445652</c:v>
                </c:pt>
                <c:pt idx="11">
                  <c:v>0.19671629231239232</c:v>
                </c:pt>
                <c:pt idx="12">
                  <c:v>0.19270702715396176</c:v>
                </c:pt>
                <c:pt idx="13">
                  <c:v>0.18427794224313618</c:v>
                </c:pt>
                <c:pt idx="14">
                  <c:v>0.1615195390960063</c:v>
                </c:pt>
                <c:pt idx="15">
                  <c:v>0.1691459864705005</c:v>
                </c:pt>
                <c:pt idx="16">
                  <c:v>0.17632846982776165</c:v>
                </c:pt>
                <c:pt idx="17">
                  <c:v>0.17617286244388633</c:v>
                </c:pt>
                <c:pt idx="18">
                  <c:v>0.19083784274952931</c:v>
                </c:pt>
                <c:pt idx="19">
                  <c:v>0.17807199945958649</c:v>
                </c:pt>
                <c:pt idx="20">
                  <c:v>0.18317804138889004</c:v>
                </c:pt>
                <c:pt idx="21">
                  <c:v>0.16647682209650663</c:v>
                </c:pt>
                <c:pt idx="22">
                  <c:v>0.17531732218028429</c:v>
                </c:pt>
                <c:pt idx="23">
                  <c:v>0.16481070152731139</c:v>
                </c:pt>
                <c:pt idx="24">
                  <c:v>0.15231711843415766</c:v>
                </c:pt>
                <c:pt idx="25">
                  <c:v>0.12537451913807643</c:v>
                </c:pt>
                <c:pt idx="26">
                  <c:v>0.12625432356617555</c:v>
                </c:pt>
                <c:pt idx="27">
                  <c:v>0.10993910745817694</c:v>
                </c:pt>
                <c:pt idx="28">
                  <c:v>0.10206986877074262</c:v>
                </c:pt>
                <c:pt idx="29">
                  <c:v>0.10189258498634639</c:v>
                </c:pt>
                <c:pt idx="30">
                  <c:v>9.6025692220896783E-2</c:v>
                </c:pt>
                <c:pt idx="31">
                  <c:v>0.11443713741325869</c:v>
                </c:pt>
                <c:pt idx="32">
                  <c:v>0.1381721791252018</c:v>
                </c:pt>
                <c:pt idx="33">
                  <c:v>0.18309955006944903</c:v>
                </c:pt>
                <c:pt idx="34">
                  <c:v>0.21110258676319321</c:v>
                </c:pt>
                <c:pt idx="35">
                  <c:v>0.21039206386656154</c:v>
                </c:pt>
                <c:pt idx="36">
                  <c:v>0.2279068409464762</c:v>
                </c:pt>
                <c:pt idx="37">
                  <c:v>0.23775186678287216</c:v>
                </c:pt>
                <c:pt idx="38">
                  <c:v>0.20382328907917063</c:v>
                </c:pt>
                <c:pt idx="39">
                  <c:v>0.21186485987906409</c:v>
                </c:pt>
                <c:pt idx="40">
                  <c:v>0.20030800015601138</c:v>
                </c:pt>
                <c:pt idx="41">
                  <c:v>0.20587504523212469</c:v>
                </c:pt>
                <c:pt idx="42">
                  <c:v>0.17959054831974058</c:v>
                </c:pt>
                <c:pt idx="43">
                  <c:v>0.11482300267158405</c:v>
                </c:pt>
                <c:pt idx="44">
                  <c:v>0.11747444487012983</c:v>
                </c:pt>
                <c:pt idx="45">
                  <c:v>0.11834778804633242</c:v>
                </c:pt>
                <c:pt idx="46">
                  <c:v>0.11648563311611185</c:v>
                </c:pt>
                <c:pt idx="47">
                  <c:v>0.14367996604314642</c:v>
                </c:pt>
                <c:pt idx="48">
                  <c:v>0.18358541931212286</c:v>
                </c:pt>
                <c:pt idx="49">
                  <c:v>0.22923074674527513</c:v>
                </c:pt>
                <c:pt idx="50">
                  <c:v>0.27225750011752908</c:v>
                </c:pt>
                <c:pt idx="51">
                  <c:v>0.30657846652417564</c:v>
                </c:pt>
                <c:pt idx="52">
                  <c:v>0.33377801664830187</c:v>
                </c:pt>
                <c:pt idx="53">
                  <c:v>0.35952236441779134</c:v>
                </c:pt>
                <c:pt idx="54">
                  <c:v>0.39530451792963722</c:v>
                </c:pt>
                <c:pt idx="55">
                  <c:v>0.47159093538277103</c:v>
                </c:pt>
                <c:pt idx="56">
                  <c:v>0.43265112153556456</c:v>
                </c:pt>
              </c:numCache>
            </c:numRef>
          </c:val>
          <c:smooth val="0"/>
          <c:extLst>
            <c:ext xmlns:c16="http://schemas.microsoft.com/office/drawing/2014/chart" uri="{C3380CC4-5D6E-409C-BE32-E72D297353CC}">
              <c16:uniqueId val="{00000000-4817-4B9D-A6AF-7C10B55AD7EA}"/>
            </c:ext>
          </c:extLst>
        </c:ser>
        <c:dLbls>
          <c:showLegendKey val="0"/>
          <c:showVal val="0"/>
          <c:showCatName val="0"/>
          <c:showSerName val="0"/>
          <c:showPercent val="0"/>
          <c:showBubbleSize val="0"/>
        </c:dLbls>
        <c:smooth val="0"/>
        <c:axId val="2128069120"/>
        <c:axId val="2128072464"/>
      </c:lineChart>
      <c:catAx>
        <c:axId val="2128069120"/>
        <c:scaling>
          <c:orientation val="minMax"/>
        </c:scaling>
        <c:delete val="0"/>
        <c:axPos val="b"/>
        <c:numFmt formatCode="General" sourceLinked="1"/>
        <c:majorTickMark val="out"/>
        <c:minorTickMark val="none"/>
        <c:tickLblPos val="low"/>
        <c:spPr>
          <a:noFill/>
          <a:ln w="9525" cap="flat" cmpd="sng" algn="ctr">
            <a:solidFill>
              <a:schemeClr val="bg2">
                <a:lumMod val="90000"/>
              </a:schemeClr>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LM Roman 10" panose="00000500000000000000" pitchFamily="50" charset="0"/>
                <a:ea typeface="+mn-ea"/>
                <a:cs typeface="+mn-cs"/>
              </a:defRPr>
            </a:pPr>
            <a:endParaRPr lang="en-US"/>
          </a:p>
        </c:txPr>
        <c:crossAx val="2128072464"/>
        <c:crosses val="autoZero"/>
        <c:auto val="1"/>
        <c:lblAlgn val="ctr"/>
        <c:lblOffset val="100"/>
        <c:noMultiLvlLbl val="0"/>
      </c:catAx>
      <c:valAx>
        <c:axId val="2128072464"/>
        <c:scaling>
          <c:orientation val="minMax"/>
        </c:scaling>
        <c:delete val="0"/>
        <c:axPos val="l"/>
        <c:numFmt formatCode="0%" sourceLinked="1"/>
        <c:majorTickMark val="out"/>
        <c:minorTickMark val="none"/>
        <c:tickLblPos val="nextTo"/>
        <c:spPr>
          <a:noFill/>
          <a:ln>
            <a:solidFill>
              <a:schemeClr val="bg2">
                <a:lumMod val="90000"/>
              </a:schemeClr>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LM Roman 10" panose="00000500000000000000" pitchFamily="50" charset="0"/>
                <a:ea typeface="+mn-ea"/>
                <a:cs typeface="+mn-cs"/>
              </a:defRPr>
            </a:pPr>
            <a:endParaRPr lang="en-US"/>
          </a:p>
        </c:txPr>
        <c:crossAx val="2128069120"/>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200">
          <a:solidFill>
            <a:sysClr val="windowText" lastClr="000000"/>
          </a:solidFill>
          <a:latin typeface="LM Roman 10" panose="00000500000000000000" pitchFamily="50"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16'!$B$3</c:f>
              <c:strCache>
                <c:ptCount val="1"/>
                <c:pt idx="0">
                  <c:v>banks</c:v>
                </c:pt>
              </c:strCache>
            </c:strRef>
          </c:tx>
          <c:spPr>
            <a:pattFill prst="wdDnDiag">
              <a:fgClr>
                <a:schemeClr val="tx1"/>
              </a:fgClr>
              <a:bgClr>
                <a:schemeClr val="bg1"/>
              </a:bgClr>
            </a:pattFill>
            <a:ln>
              <a:noFill/>
            </a:ln>
            <a:effectLst/>
          </c:spPr>
          <c:invertIfNegative val="0"/>
          <c:cat>
            <c:strRef>
              <c:f>'Figure 16'!$A$4:$A$6</c:f>
              <c:strCache>
                <c:ptCount val="3"/>
                <c:pt idx="0">
                  <c:v>1988</c:v>
                </c:pt>
                <c:pt idx="1">
                  <c:v>1995</c:v>
                </c:pt>
                <c:pt idx="2">
                  <c:v>1999</c:v>
                </c:pt>
              </c:strCache>
            </c:strRef>
          </c:cat>
          <c:val>
            <c:numRef>
              <c:f>'Figure 16'!$B$4:$B$6</c:f>
              <c:numCache>
                <c:formatCode>General</c:formatCode>
                <c:ptCount val="3"/>
                <c:pt idx="0">
                  <c:v>26</c:v>
                </c:pt>
                <c:pt idx="1">
                  <c:v>34</c:v>
                </c:pt>
                <c:pt idx="2">
                  <c:v>23</c:v>
                </c:pt>
              </c:numCache>
            </c:numRef>
          </c:val>
          <c:extLst>
            <c:ext xmlns:c16="http://schemas.microsoft.com/office/drawing/2014/chart" uri="{C3380CC4-5D6E-409C-BE32-E72D297353CC}">
              <c16:uniqueId val="{00000000-5B6D-4A49-ACB7-58BA43610815}"/>
            </c:ext>
          </c:extLst>
        </c:ser>
        <c:ser>
          <c:idx val="1"/>
          <c:order val="1"/>
          <c:tx>
            <c:strRef>
              <c:f>'Figure 16'!$C$3</c:f>
              <c:strCache>
                <c:ptCount val="1"/>
                <c:pt idx="0">
                  <c:v>financial companies</c:v>
                </c:pt>
              </c:strCache>
            </c:strRef>
          </c:tx>
          <c:spPr>
            <a:pattFill prst="pct75">
              <a:fgClr>
                <a:schemeClr val="tx1"/>
              </a:fgClr>
              <a:bgClr>
                <a:schemeClr val="bg1"/>
              </a:bgClr>
            </a:pattFill>
            <a:ln>
              <a:noFill/>
            </a:ln>
            <a:effectLst/>
          </c:spPr>
          <c:invertIfNegative val="0"/>
          <c:cat>
            <c:strRef>
              <c:f>'Figure 16'!$A$4:$A$6</c:f>
              <c:strCache>
                <c:ptCount val="3"/>
                <c:pt idx="0">
                  <c:v>1988</c:v>
                </c:pt>
                <c:pt idx="1">
                  <c:v>1995</c:v>
                </c:pt>
                <c:pt idx="2">
                  <c:v>1999</c:v>
                </c:pt>
              </c:strCache>
            </c:strRef>
          </c:cat>
          <c:val>
            <c:numRef>
              <c:f>'Figure 16'!$C$4:$C$6</c:f>
              <c:numCache>
                <c:formatCode>0.00</c:formatCode>
                <c:ptCount val="3"/>
                <c:pt idx="0">
                  <c:v>28</c:v>
                </c:pt>
                <c:pt idx="1">
                  <c:v>63</c:v>
                </c:pt>
                <c:pt idx="2">
                  <c:v>35</c:v>
                </c:pt>
              </c:numCache>
            </c:numRef>
          </c:val>
          <c:extLst>
            <c:ext xmlns:c16="http://schemas.microsoft.com/office/drawing/2014/chart" uri="{C3380CC4-5D6E-409C-BE32-E72D297353CC}">
              <c16:uniqueId val="{00000001-5B6D-4A49-ACB7-58BA43610815}"/>
            </c:ext>
          </c:extLst>
        </c:ser>
        <c:dLbls>
          <c:showLegendKey val="0"/>
          <c:showVal val="0"/>
          <c:showCatName val="0"/>
          <c:showSerName val="0"/>
          <c:showPercent val="0"/>
          <c:showBubbleSize val="0"/>
        </c:dLbls>
        <c:gapWidth val="150"/>
        <c:overlap val="100"/>
        <c:axId val="434589816"/>
        <c:axId val="434591784"/>
      </c:barChart>
      <c:catAx>
        <c:axId val="434589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34591784"/>
        <c:crosses val="autoZero"/>
        <c:auto val="1"/>
        <c:lblAlgn val="ctr"/>
        <c:lblOffset val="100"/>
        <c:noMultiLvlLbl val="0"/>
      </c:catAx>
      <c:valAx>
        <c:axId val="434591784"/>
        <c:scaling>
          <c:orientation val="minMax"/>
        </c:scaling>
        <c:delete val="0"/>
        <c:axPos val="l"/>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34589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 l="0" r="0" t="0" header="0" footer="0"/>
    <c:pageSetup paperSize="449" orientation="landscape" blackAndWhite="1"/>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3758290706688E-2"/>
          <c:y val="2.7512597459270201E-2"/>
          <c:w val="0.90171292552466398"/>
          <c:h val="0.94058026133778905"/>
        </c:manualLayout>
      </c:layout>
      <c:lineChart>
        <c:grouping val="standard"/>
        <c:varyColors val="0"/>
        <c:ser>
          <c:idx val="0"/>
          <c:order val="0"/>
          <c:cat>
            <c:numRef>
              <c:f>Base_BOP!$B$18:$B$32</c:f>
              <c:numCache>
                <c:formatCode>General</c:formatCode>
                <c:ptCount val="15"/>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numCache>
            </c:numRef>
          </c:cat>
          <c:val>
            <c:numRef>
              <c:f>Base_BOP!$D$18:$D$32</c:f>
              <c:numCache>
                <c:formatCode>0</c:formatCode>
                <c:ptCount val="15"/>
                <c:pt idx="0">
                  <c:v>-25.286999999999999</c:v>
                </c:pt>
                <c:pt idx="1">
                  <c:v>-50.896999999999998</c:v>
                </c:pt>
                <c:pt idx="2">
                  <c:v>-53.957000000000001</c:v>
                </c:pt>
                <c:pt idx="3">
                  <c:v>-80.69</c:v>
                </c:pt>
                <c:pt idx="4">
                  <c:v>-150.53899999999999</c:v>
                </c:pt>
                <c:pt idx="5">
                  <c:v>-192.624</c:v>
                </c:pt>
                <c:pt idx="6">
                  <c:v>-275.04000000000002</c:v>
                </c:pt>
                <c:pt idx="7">
                  <c:v>-373.92399999999998</c:v>
                </c:pt>
                <c:pt idx="8">
                  <c:v>-315.08699999999999</c:v>
                </c:pt>
                <c:pt idx="9">
                  <c:v>-253.858</c:v>
                </c:pt>
                <c:pt idx="10">
                  <c:v>-201.95699999999999</c:v>
                </c:pt>
                <c:pt idx="11">
                  <c:v>-107.06100000000001</c:v>
                </c:pt>
                <c:pt idx="12">
                  <c:v>-162.43700000000001</c:v>
                </c:pt>
                <c:pt idx="13">
                  <c:v>-97.21</c:v>
                </c:pt>
                <c:pt idx="14">
                  <c:v>68.745999999999995</c:v>
                </c:pt>
              </c:numCache>
            </c:numRef>
          </c:val>
          <c:smooth val="0"/>
          <c:extLst>
            <c:ext xmlns:c16="http://schemas.microsoft.com/office/drawing/2014/chart" uri="{C3380CC4-5D6E-409C-BE32-E72D297353CC}">
              <c16:uniqueId val="{00000000-ECFE-401E-B439-4058897189DF}"/>
            </c:ext>
          </c:extLst>
        </c:ser>
        <c:ser>
          <c:idx val="1"/>
          <c:order val="1"/>
          <c:cat>
            <c:numRef>
              <c:f>Base_BOP!$B$18:$B$32</c:f>
              <c:numCache>
                <c:formatCode>General</c:formatCode>
                <c:ptCount val="15"/>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numCache>
            </c:numRef>
          </c:cat>
          <c:val>
            <c:numRef>
              <c:f>Base_BOP!$G$17:$G$32</c:f>
              <c:numCache>
                <c:formatCode>0</c:formatCode>
                <c:ptCount val="16"/>
                <c:pt idx="0">
                  <c:v>34.188000000000002</c:v>
                </c:pt>
                <c:pt idx="1">
                  <c:v>83.959000000000003</c:v>
                </c:pt>
                <c:pt idx="2">
                  <c:v>100.491</c:v>
                </c:pt>
                <c:pt idx="3">
                  <c:v>124.994</c:v>
                </c:pt>
                <c:pt idx="4">
                  <c:v>227.57599999999999</c:v>
                </c:pt>
                <c:pt idx="5">
                  <c:v>328</c:v>
                </c:pt>
                <c:pt idx="6">
                  <c:v>343.83</c:v>
                </c:pt>
                <c:pt idx="7">
                  <c:v>378.62</c:v>
                </c:pt>
                <c:pt idx="8">
                  <c:v>393.30500000000001</c:v>
                </c:pt>
                <c:pt idx="9">
                  <c:v>267.33499999999998</c:v>
                </c:pt>
                <c:pt idx="10">
                  <c:v>77.724000000000004</c:v>
                </c:pt>
                <c:pt idx="11">
                  <c:v>67.17</c:v>
                </c:pt>
                <c:pt idx="12">
                  <c:v>-2.2410000000000001</c:v>
                </c:pt>
                <c:pt idx="13">
                  <c:v>-129.934</c:v>
                </c:pt>
                <c:pt idx="14">
                  <c:v>190.06899999999999</c:v>
                </c:pt>
                <c:pt idx="15">
                  <c:v>-18.489000000000001</c:v>
                </c:pt>
              </c:numCache>
            </c:numRef>
          </c:val>
          <c:smooth val="0"/>
          <c:extLst>
            <c:ext xmlns:c16="http://schemas.microsoft.com/office/drawing/2014/chart" uri="{C3380CC4-5D6E-409C-BE32-E72D297353CC}">
              <c16:uniqueId val="{00000001-ECFE-401E-B439-4058897189DF}"/>
            </c:ext>
          </c:extLst>
        </c:ser>
        <c:ser>
          <c:idx val="2"/>
          <c:order val="2"/>
          <c:cat>
            <c:numRef>
              <c:f>Base_BOP!$B$18:$B$32</c:f>
              <c:numCache>
                <c:formatCode>General</c:formatCode>
                <c:ptCount val="15"/>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numCache>
            </c:numRef>
          </c:cat>
          <c:val>
            <c:numRef>
              <c:f>Base_BOP!$P$18:$P$32</c:f>
              <c:numCache>
                <c:formatCode>0</c:formatCode>
                <c:ptCount val="15"/>
                <c:pt idx="0">
                  <c:v>39.06</c:v>
                </c:pt>
                <c:pt idx="1">
                  <c:v>31.79</c:v>
                </c:pt>
                <c:pt idx="2">
                  <c:v>50.85</c:v>
                </c:pt>
                <c:pt idx="3">
                  <c:v>106.35</c:v>
                </c:pt>
                <c:pt idx="4">
                  <c:v>169.04</c:v>
                </c:pt>
                <c:pt idx="5">
                  <c:v>166.56</c:v>
                </c:pt>
                <c:pt idx="6">
                  <c:v>167.4</c:v>
                </c:pt>
                <c:pt idx="7">
                  <c:v>45.17</c:v>
                </c:pt>
                <c:pt idx="8">
                  <c:v>-71.5</c:v>
                </c:pt>
                <c:pt idx="9">
                  <c:v>-39.520000000000003</c:v>
                </c:pt>
                <c:pt idx="10">
                  <c:v>-95.5</c:v>
                </c:pt>
                <c:pt idx="11">
                  <c:v>-88.68</c:v>
                </c:pt>
                <c:pt idx="12">
                  <c:v>-90.075000000000003</c:v>
                </c:pt>
                <c:pt idx="13">
                  <c:v>53.19</c:v>
                </c:pt>
                <c:pt idx="14">
                  <c:v>-135.30000000000001</c:v>
                </c:pt>
              </c:numCache>
            </c:numRef>
          </c:val>
          <c:smooth val="0"/>
          <c:extLst>
            <c:ext xmlns:c16="http://schemas.microsoft.com/office/drawing/2014/chart" uri="{C3380CC4-5D6E-409C-BE32-E72D297353CC}">
              <c16:uniqueId val="{00000002-ECFE-401E-B439-4058897189DF}"/>
            </c:ext>
          </c:extLst>
        </c:ser>
        <c:ser>
          <c:idx val="3"/>
          <c:order val="3"/>
          <c:cat>
            <c:numRef>
              <c:f>Base_BOP!$B$18:$B$32</c:f>
              <c:numCache>
                <c:formatCode>General</c:formatCode>
                <c:ptCount val="15"/>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numCache>
            </c:numRef>
          </c:cat>
          <c:val>
            <c:numRef>
              <c:f>Base_BOP!#REF!</c:f>
              <c:numCache>
                <c:formatCode>General</c:formatCode>
                <c:ptCount val="1"/>
                <c:pt idx="0">
                  <c:v>1</c:v>
                </c:pt>
              </c:numCache>
            </c:numRef>
          </c:val>
          <c:smooth val="0"/>
          <c:extLst>
            <c:ext xmlns:c16="http://schemas.microsoft.com/office/drawing/2014/chart" uri="{C3380CC4-5D6E-409C-BE32-E72D297353CC}">
              <c16:uniqueId val="{00000003-ECFE-401E-B439-4058897189DF}"/>
            </c:ext>
          </c:extLst>
        </c:ser>
        <c:dLbls>
          <c:showLegendKey val="0"/>
          <c:showVal val="0"/>
          <c:showCatName val="0"/>
          <c:showSerName val="0"/>
          <c:showPercent val="0"/>
          <c:showBubbleSize val="0"/>
        </c:dLbls>
        <c:marker val="1"/>
        <c:smooth val="0"/>
        <c:axId val="2128123872"/>
        <c:axId val="2128126736"/>
      </c:lineChart>
      <c:lineChart>
        <c:grouping val="standard"/>
        <c:varyColors val="0"/>
        <c:ser>
          <c:idx val="4"/>
          <c:order val="4"/>
          <c:tx>
            <c:v>tc</c:v>
          </c:tx>
          <c:cat>
            <c:numRef>
              <c:f>Base_BOP!$B$18:$B$32</c:f>
              <c:numCache>
                <c:formatCode>General</c:formatCode>
                <c:ptCount val="15"/>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numCache>
            </c:numRef>
          </c:cat>
          <c:val>
            <c:numRef>
              <c:f>Base_BOP!#REF!</c:f>
              <c:numCache>
                <c:formatCode>General</c:formatCode>
                <c:ptCount val="1"/>
                <c:pt idx="0">
                  <c:v>1</c:v>
                </c:pt>
              </c:numCache>
            </c:numRef>
          </c:val>
          <c:smooth val="0"/>
          <c:extLst>
            <c:ext xmlns:c16="http://schemas.microsoft.com/office/drawing/2014/chart" uri="{C3380CC4-5D6E-409C-BE32-E72D297353CC}">
              <c16:uniqueId val="{00000004-ECFE-401E-B439-4058897189DF}"/>
            </c:ext>
          </c:extLst>
        </c:ser>
        <c:dLbls>
          <c:showLegendKey val="0"/>
          <c:showVal val="0"/>
          <c:showCatName val="0"/>
          <c:showSerName val="0"/>
          <c:showPercent val="0"/>
          <c:showBubbleSize val="0"/>
        </c:dLbls>
        <c:marker val="1"/>
        <c:smooth val="0"/>
        <c:axId val="2129163856"/>
        <c:axId val="2128129568"/>
      </c:lineChart>
      <c:catAx>
        <c:axId val="2128123872"/>
        <c:scaling>
          <c:orientation val="minMax"/>
        </c:scaling>
        <c:delete val="0"/>
        <c:axPos val="b"/>
        <c:numFmt formatCode="General" sourceLinked="1"/>
        <c:majorTickMark val="out"/>
        <c:minorTickMark val="none"/>
        <c:tickLblPos val="nextTo"/>
        <c:crossAx val="2128126736"/>
        <c:crosses val="autoZero"/>
        <c:auto val="1"/>
        <c:lblAlgn val="ctr"/>
        <c:lblOffset val="100"/>
        <c:noMultiLvlLbl val="0"/>
      </c:catAx>
      <c:valAx>
        <c:axId val="2128126736"/>
        <c:scaling>
          <c:orientation val="minMax"/>
        </c:scaling>
        <c:delete val="0"/>
        <c:axPos val="l"/>
        <c:majorGridlines/>
        <c:numFmt formatCode="0" sourceLinked="1"/>
        <c:majorTickMark val="out"/>
        <c:minorTickMark val="none"/>
        <c:tickLblPos val="nextTo"/>
        <c:crossAx val="2128123872"/>
        <c:crosses val="autoZero"/>
        <c:crossBetween val="between"/>
      </c:valAx>
      <c:valAx>
        <c:axId val="2128129568"/>
        <c:scaling>
          <c:orientation val="minMax"/>
        </c:scaling>
        <c:delete val="0"/>
        <c:axPos val="r"/>
        <c:numFmt formatCode="General" sourceLinked="1"/>
        <c:majorTickMark val="out"/>
        <c:minorTickMark val="none"/>
        <c:tickLblPos val="nextTo"/>
        <c:crossAx val="2129163856"/>
        <c:crosses val="max"/>
        <c:crossBetween val="between"/>
      </c:valAx>
      <c:catAx>
        <c:axId val="2129163856"/>
        <c:scaling>
          <c:orientation val="minMax"/>
        </c:scaling>
        <c:delete val="1"/>
        <c:axPos val="b"/>
        <c:numFmt formatCode="General" sourceLinked="1"/>
        <c:majorTickMark val="out"/>
        <c:minorTickMark val="none"/>
        <c:tickLblPos val="nextTo"/>
        <c:crossAx val="2128129568"/>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7894097318215798E-2"/>
          <c:y val="5.0925925925925902E-2"/>
          <c:w val="0.93344808492258702"/>
          <c:h val="0.74734324876057201"/>
        </c:manualLayout>
      </c:layout>
      <c:lineChart>
        <c:grouping val="standard"/>
        <c:varyColors val="0"/>
        <c:ser>
          <c:idx val="0"/>
          <c:order val="0"/>
          <c:spPr>
            <a:ln>
              <a:solidFill>
                <a:sysClr val="windowText" lastClr="000000"/>
              </a:solidFill>
            </a:ln>
          </c:spPr>
          <c:marker>
            <c:symbol val="none"/>
          </c:marker>
          <c:cat>
            <c:numRef>
              <c:f>Inflation!$B$16:$B$699</c:f>
              <c:numCache>
                <c:formatCode>mmm\-yy</c:formatCode>
                <c:ptCount val="683"/>
                <c:pt idx="0">
                  <c:v>22282</c:v>
                </c:pt>
                <c:pt idx="1">
                  <c:v>22313</c:v>
                </c:pt>
                <c:pt idx="2">
                  <c:v>22341</c:v>
                </c:pt>
                <c:pt idx="3">
                  <c:v>22372</c:v>
                </c:pt>
                <c:pt idx="4">
                  <c:v>22402</c:v>
                </c:pt>
                <c:pt idx="5">
                  <c:v>22433</c:v>
                </c:pt>
                <c:pt idx="6">
                  <c:v>22463</c:v>
                </c:pt>
                <c:pt idx="7">
                  <c:v>22494</c:v>
                </c:pt>
                <c:pt idx="8">
                  <c:v>22525</c:v>
                </c:pt>
                <c:pt idx="9">
                  <c:v>22555</c:v>
                </c:pt>
                <c:pt idx="10">
                  <c:v>22586</c:v>
                </c:pt>
                <c:pt idx="11">
                  <c:v>22616</c:v>
                </c:pt>
                <c:pt idx="12">
                  <c:v>22647</c:v>
                </c:pt>
                <c:pt idx="13">
                  <c:v>22678</c:v>
                </c:pt>
                <c:pt idx="14">
                  <c:v>22706</c:v>
                </c:pt>
                <c:pt idx="15">
                  <c:v>22737</c:v>
                </c:pt>
                <c:pt idx="16">
                  <c:v>22767</c:v>
                </c:pt>
                <c:pt idx="17">
                  <c:v>22798</c:v>
                </c:pt>
                <c:pt idx="18">
                  <c:v>22828</c:v>
                </c:pt>
                <c:pt idx="19">
                  <c:v>22859</c:v>
                </c:pt>
                <c:pt idx="20">
                  <c:v>22890</c:v>
                </c:pt>
                <c:pt idx="21">
                  <c:v>22920</c:v>
                </c:pt>
                <c:pt idx="22">
                  <c:v>22951</c:v>
                </c:pt>
                <c:pt idx="23">
                  <c:v>22981</c:v>
                </c:pt>
                <c:pt idx="24">
                  <c:v>23012</c:v>
                </c:pt>
                <c:pt idx="25">
                  <c:v>23043</c:v>
                </c:pt>
                <c:pt idx="26">
                  <c:v>23071</c:v>
                </c:pt>
                <c:pt idx="27">
                  <c:v>23102</c:v>
                </c:pt>
                <c:pt idx="28">
                  <c:v>23132</c:v>
                </c:pt>
                <c:pt idx="29">
                  <c:v>23163</c:v>
                </c:pt>
                <c:pt idx="30">
                  <c:v>23193</c:v>
                </c:pt>
                <c:pt idx="31">
                  <c:v>23224</c:v>
                </c:pt>
                <c:pt idx="32">
                  <c:v>23255</c:v>
                </c:pt>
                <c:pt idx="33">
                  <c:v>23285</c:v>
                </c:pt>
                <c:pt idx="34">
                  <c:v>23316</c:v>
                </c:pt>
                <c:pt idx="35">
                  <c:v>23346</c:v>
                </c:pt>
                <c:pt idx="36">
                  <c:v>23377</c:v>
                </c:pt>
                <c:pt idx="37">
                  <c:v>23408</c:v>
                </c:pt>
                <c:pt idx="38">
                  <c:v>23437</c:v>
                </c:pt>
                <c:pt idx="39">
                  <c:v>23468</c:v>
                </c:pt>
                <c:pt idx="40">
                  <c:v>23498</c:v>
                </c:pt>
                <c:pt idx="41">
                  <c:v>23529</c:v>
                </c:pt>
                <c:pt idx="42">
                  <c:v>23559</c:v>
                </c:pt>
                <c:pt idx="43">
                  <c:v>23590</c:v>
                </c:pt>
                <c:pt idx="44">
                  <c:v>23621</c:v>
                </c:pt>
                <c:pt idx="45">
                  <c:v>23651</c:v>
                </c:pt>
                <c:pt idx="46">
                  <c:v>23682</c:v>
                </c:pt>
                <c:pt idx="47">
                  <c:v>23712</c:v>
                </c:pt>
                <c:pt idx="48">
                  <c:v>23743</c:v>
                </c:pt>
                <c:pt idx="49">
                  <c:v>23774</c:v>
                </c:pt>
                <c:pt idx="50">
                  <c:v>23802</c:v>
                </c:pt>
                <c:pt idx="51">
                  <c:v>23833</c:v>
                </c:pt>
                <c:pt idx="52">
                  <c:v>23863</c:v>
                </c:pt>
                <c:pt idx="53">
                  <c:v>23894</c:v>
                </c:pt>
                <c:pt idx="54">
                  <c:v>23924</c:v>
                </c:pt>
                <c:pt idx="55">
                  <c:v>23955</c:v>
                </c:pt>
                <c:pt idx="56">
                  <c:v>23986</c:v>
                </c:pt>
                <c:pt idx="57">
                  <c:v>24016</c:v>
                </c:pt>
                <c:pt idx="58">
                  <c:v>24047</c:v>
                </c:pt>
                <c:pt idx="59">
                  <c:v>24077</c:v>
                </c:pt>
                <c:pt idx="60">
                  <c:v>24108</c:v>
                </c:pt>
                <c:pt idx="61">
                  <c:v>24139</c:v>
                </c:pt>
                <c:pt idx="62">
                  <c:v>24167</c:v>
                </c:pt>
                <c:pt idx="63">
                  <c:v>24198</c:v>
                </c:pt>
                <c:pt idx="64">
                  <c:v>24228</c:v>
                </c:pt>
                <c:pt idx="65">
                  <c:v>24259</c:v>
                </c:pt>
                <c:pt idx="66">
                  <c:v>24289</c:v>
                </c:pt>
                <c:pt idx="67">
                  <c:v>24320</c:v>
                </c:pt>
                <c:pt idx="68">
                  <c:v>24351</c:v>
                </c:pt>
                <c:pt idx="69">
                  <c:v>24381</c:v>
                </c:pt>
                <c:pt idx="70">
                  <c:v>24412</c:v>
                </c:pt>
                <c:pt idx="71">
                  <c:v>24442</c:v>
                </c:pt>
                <c:pt idx="72">
                  <c:v>24473</c:v>
                </c:pt>
                <c:pt idx="73">
                  <c:v>24504</c:v>
                </c:pt>
                <c:pt idx="74">
                  <c:v>24532</c:v>
                </c:pt>
                <c:pt idx="75">
                  <c:v>24563</c:v>
                </c:pt>
                <c:pt idx="76">
                  <c:v>24593</c:v>
                </c:pt>
                <c:pt idx="77">
                  <c:v>24624</c:v>
                </c:pt>
                <c:pt idx="78">
                  <c:v>24654</c:v>
                </c:pt>
                <c:pt idx="79">
                  <c:v>24685</c:v>
                </c:pt>
                <c:pt idx="80">
                  <c:v>24716</c:v>
                </c:pt>
                <c:pt idx="81">
                  <c:v>24746</c:v>
                </c:pt>
                <c:pt idx="82">
                  <c:v>24777</c:v>
                </c:pt>
                <c:pt idx="83">
                  <c:v>24807</c:v>
                </c:pt>
                <c:pt idx="84">
                  <c:v>24838</c:v>
                </c:pt>
                <c:pt idx="85">
                  <c:v>24869</c:v>
                </c:pt>
                <c:pt idx="86">
                  <c:v>24898</c:v>
                </c:pt>
                <c:pt idx="87">
                  <c:v>24929</c:v>
                </c:pt>
                <c:pt idx="88">
                  <c:v>24959</c:v>
                </c:pt>
                <c:pt idx="89">
                  <c:v>24990</c:v>
                </c:pt>
                <c:pt idx="90">
                  <c:v>25020</c:v>
                </c:pt>
                <c:pt idx="91">
                  <c:v>25051</c:v>
                </c:pt>
                <c:pt idx="92">
                  <c:v>25082</c:v>
                </c:pt>
                <c:pt idx="93">
                  <c:v>25112</c:v>
                </c:pt>
                <c:pt idx="94">
                  <c:v>25143</c:v>
                </c:pt>
                <c:pt idx="95">
                  <c:v>25173</c:v>
                </c:pt>
                <c:pt idx="96">
                  <c:v>25204</c:v>
                </c:pt>
                <c:pt idx="97">
                  <c:v>25235</c:v>
                </c:pt>
                <c:pt idx="98">
                  <c:v>25263</c:v>
                </c:pt>
                <c:pt idx="99">
                  <c:v>25294</c:v>
                </c:pt>
                <c:pt idx="100">
                  <c:v>25324</c:v>
                </c:pt>
                <c:pt idx="101">
                  <c:v>25355</c:v>
                </c:pt>
                <c:pt idx="102">
                  <c:v>25385</c:v>
                </c:pt>
                <c:pt idx="103">
                  <c:v>25416</c:v>
                </c:pt>
                <c:pt idx="104">
                  <c:v>25447</c:v>
                </c:pt>
                <c:pt idx="105">
                  <c:v>25477</c:v>
                </c:pt>
                <c:pt idx="106">
                  <c:v>25508</c:v>
                </c:pt>
                <c:pt idx="107">
                  <c:v>25538</c:v>
                </c:pt>
                <c:pt idx="108">
                  <c:v>25569</c:v>
                </c:pt>
                <c:pt idx="109">
                  <c:v>25600</c:v>
                </c:pt>
                <c:pt idx="110">
                  <c:v>25628</c:v>
                </c:pt>
                <c:pt idx="111">
                  <c:v>25659</c:v>
                </c:pt>
                <c:pt idx="112">
                  <c:v>25689</c:v>
                </c:pt>
                <c:pt idx="113">
                  <c:v>25720</c:v>
                </c:pt>
                <c:pt idx="114">
                  <c:v>25750</c:v>
                </c:pt>
                <c:pt idx="115">
                  <c:v>25781</c:v>
                </c:pt>
                <c:pt idx="116">
                  <c:v>25812</c:v>
                </c:pt>
                <c:pt idx="117">
                  <c:v>25842</c:v>
                </c:pt>
                <c:pt idx="118">
                  <c:v>25873</c:v>
                </c:pt>
                <c:pt idx="119">
                  <c:v>25903</c:v>
                </c:pt>
                <c:pt idx="120">
                  <c:v>25934</c:v>
                </c:pt>
                <c:pt idx="121">
                  <c:v>25965</c:v>
                </c:pt>
                <c:pt idx="122">
                  <c:v>25993</c:v>
                </c:pt>
                <c:pt idx="123">
                  <c:v>26024</c:v>
                </c:pt>
                <c:pt idx="124">
                  <c:v>26054</c:v>
                </c:pt>
                <c:pt idx="125">
                  <c:v>26085</c:v>
                </c:pt>
                <c:pt idx="126">
                  <c:v>26115</c:v>
                </c:pt>
                <c:pt idx="127">
                  <c:v>26146</c:v>
                </c:pt>
                <c:pt idx="128">
                  <c:v>26177</c:v>
                </c:pt>
                <c:pt idx="129">
                  <c:v>26207</c:v>
                </c:pt>
                <c:pt idx="130">
                  <c:v>26238</c:v>
                </c:pt>
                <c:pt idx="131">
                  <c:v>26268</c:v>
                </c:pt>
                <c:pt idx="132">
                  <c:v>26299</c:v>
                </c:pt>
                <c:pt idx="133">
                  <c:v>26330</c:v>
                </c:pt>
                <c:pt idx="134">
                  <c:v>26359</c:v>
                </c:pt>
                <c:pt idx="135">
                  <c:v>26390</c:v>
                </c:pt>
                <c:pt idx="136">
                  <c:v>26420</c:v>
                </c:pt>
                <c:pt idx="137">
                  <c:v>26451</c:v>
                </c:pt>
                <c:pt idx="138">
                  <c:v>26481</c:v>
                </c:pt>
                <c:pt idx="139">
                  <c:v>26512</c:v>
                </c:pt>
                <c:pt idx="140">
                  <c:v>26543</c:v>
                </c:pt>
                <c:pt idx="141">
                  <c:v>26573</c:v>
                </c:pt>
                <c:pt idx="142">
                  <c:v>26604</c:v>
                </c:pt>
                <c:pt idx="143">
                  <c:v>26634</c:v>
                </c:pt>
                <c:pt idx="144">
                  <c:v>26665</c:v>
                </c:pt>
                <c:pt idx="145">
                  <c:v>26696</c:v>
                </c:pt>
                <c:pt idx="146">
                  <c:v>26724</c:v>
                </c:pt>
                <c:pt idx="147">
                  <c:v>26755</c:v>
                </c:pt>
                <c:pt idx="148">
                  <c:v>26785</c:v>
                </c:pt>
                <c:pt idx="149">
                  <c:v>26816</c:v>
                </c:pt>
                <c:pt idx="150">
                  <c:v>26846</c:v>
                </c:pt>
                <c:pt idx="151">
                  <c:v>26877</c:v>
                </c:pt>
                <c:pt idx="152">
                  <c:v>26908</c:v>
                </c:pt>
                <c:pt idx="153">
                  <c:v>26938</c:v>
                </c:pt>
                <c:pt idx="154">
                  <c:v>26969</c:v>
                </c:pt>
                <c:pt idx="155">
                  <c:v>26999</c:v>
                </c:pt>
                <c:pt idx="156">
                  <c:v>27030</c:v>
                </c:pt>
                <c:pt idx="157">
                  <c:v>27061</c:v>
                </c:pt>
                <c:pt idx="158">
                  <c:v>27089</c:v>
                </c:pt>
                <c:pt idx="159">
                  <c:v>27120</c:v>
                </c:pt>
                <c:pt idx="160">
                  <c:v>27150</c:v>
                </c:pt>
                <c:pt idx="161">
                  <c:v>27181</c:v>
                </c:pt>
                <c:pt idx="162">
                  <c:v>27211</c:v>
                </c:pt>
                <c:pt idx="163">
                  <c:v>27242</c:v>
                </c:pt>
                <c:pt idx="164">
                  <c:v>27273</c:v>
                </c:pt>
                <c:pt idx="165">
                  <c:v>27303</c:v>
                </c:pt>
                <c:pt idx="166">
                  <c:v>27334</c:v>
                </c:pt>
                <c:pt idx="167">
                  <c:v>27364</c:v>
                </c:pt>
                <c:pt idx="168">
                  <c:v>27395</c:v>
                </c:pt>
                <c:pt idx="169">
                  <c:v>27426</c:v>
                </c:pt>
                <c:pt idx="170">
                  <c:v>27454</c:v>
                </c:pt>
                <c:pt idx="171">
                  <c:v>27485</c:v>
                </c:pt>
                <c:pt idx="172">
                  <c:v>27515</c:v>
                </c:pt>
                <c:pt idx="173">
                  <c:v>27546</c:v>
                </c:pt>
                <c:pt idx="174">
                  <c:v>27576</c:v>
                </c:pt>
                <c:pt idx="175">
                  <c:v>27607</c:v>
                </c:pt>
                <c:pt idx="176">
                  <c:v>27638</c:v>
                </c:pt>
                <c:pt idx="177">
                  <c:v>27668</c:v>
                </c:pt>
                <c:pt idx="178">
                  <c:v>27699</c:v>
                </c:pt>
                <c:pt idx="179">
                  <c:v>27729</c:v>
                </c:pt>
                <c:pt idx="180">
                  <c:v>27760</c:v>
                </c:pt>
                <c:pt idx="181">
                  <c:v>27791</c:v>
                </c:pt>
                <c:pt idx="182">
                  <c:v>27820</c:v>
                </c:pt>
                <c:pt idx="183">
                  <c:v>27851</c:v>
                </c:pt>
                <c:pt idx="184">
                  <c:v>27881</c:v>
                </c:pt>
                <c:pt idx="185">
                  <c:v>27912</c:v>
                </c:pt>
                <c:pt idx="186">
                  <c:v>27942</c:v>
                </c:pt>
                <c:pt idx="187">
                  <c:v>27973</c:v>
                </c:pt>
                <c:pt idx="188">
                  <c:v>28004</c:v>
                </c:pt>
                <c:pt idx="189">
                  <c:v>28034</c:v>
                </c:pt>
                <c:pt idx="190">
                  <c:v>28065</c:v>
                </c:pt>
                <c:pt idx="191">
                  <c:v>28095</c:v>
                </c:pt>
                <c:pt idx="192">
                  <c:v>28126</c:v>
                </c:pt>
                <c:pt idx="193">
                  <c:v>28157</c:v>
                </c:pt>
                <c:pt idx="194">
                  <c:v>28185</c:v>
                </c:pt>
                <c:pt idx="195">
                  <c:v>28216</c:v>
                </c:pt>
                <c:pt idx="196">
                  <c:v>28246</c:v>
                </c:pt>
                <c:pt idx="197">
                  <c:v>28277</c:v>
                </c:pt>
                <c:pt idx="198">
                  <c:v>28307</c:v>
                </c:pt>
                <c:pt idx="199">
                  <c:v>28338</c:v>
                </c:pt>
                <c:pt idx="200">
                  <c:v>28369</c:v>
                </c:pt>
                <c:pt idx="201">
                  <c:v>28399</c:v>
                </c:pt>
                <c:pt idx="202">
                  <c:v>28430</c:v>
                </c:pt>
                <c:pt idx="203">
                  <c:v>28460</c:v>
                </c:pt>
                <c:pt idx="204">
                  <c:v>28491</c:v>
                </c:pt>
                <c:pt idx="205">
                  <c:v>28522</c:v>
                </c:pt>
                <c:pt idx="206">
                  <c:v>28550</c:v>
                </c:pt>
                <c:pt idx="207">
                  <c:v>28581</c:v>
                </c:pt>
                <c:pt idx="208">
                  <c:v>28611</c:v>
                </c:pt>
                <c:pt idx="209">
                  <c:v>28642</c:v>
                </c:pt>
                <c:pt idx="210">
                  <c:v>28672</c:v>
                </c:pt>
                <c:pt idx="211">
                  <c:v>28703</c:v>
                </c:pt>
                <c:pt idx="212">
                  <c:v>28734</c:v>
                </c:pt>
                <c:pt idx="213">
                  <c:v>28764</c:v>
                </c:pt>
                <c:pt idx="214">
                  <c:v>28795</c:v>
                </c:pt>
                <c:pt idx="215">
                  <c:v>28825</c:v>
                </c:pt>
                <c:pt idx="216">
                  <c:v>28856</c:v>
                </c:pt>
                <c:pt idx="217">
                  <c:v>28887</c:v>
                </c:pt>
                <c:pt idx="218">
                  <c:v>28915</c:v>
                </c:pt>
                <c:pt idx="219">
                  <c:v>28946</c:v>
                </c:pt>
                <c:pt idx="220">
                  <c:v>28976</c:v>
                </c:pt>
                <c:pt idx="221">
                  <c:v>29007</c:v>
                </c:pt>
                <c:pt idx="222">
                  <c:v>29037</c:v>
                </c:pt>
                <c:pt idx="223">
                  <c:v>29068</c:v>
                </c:pt>
                <c:pt idx="224">
                  <c:v>29099</c:v>
                </c:pt>
                <c:pt idx="225">
                  <c:v>29129</c:v>
                </c:pt>
                <c:pt idx="226">
                  <c:v>29160</c:v>
                </c:pt>
                <c:pt idx="227">
                  <c:v>29190</c:v>
                </c:pt>
                <c:pt idx="228">
                  <c:v>29221</c:v>
                </c:pt>
                <c:pt idx="229">
                  <c:v>29252</c:v>
                </c:pt>
                <c:pt idx="230">
                  <c:v>29281</c:v>
                </c:pt>
                <c:pt idx="231">
                  <c:v>29312</c:v>
                </c:pt>
                <c:pt idx="232">
                  <c:v>29342</c:v>
                </c:pt>
                <c:pt idx="233">
                  <c:v>29373</c:v>
                </c:pt>
                <c:pt idx="234">
                  <c:v>29403</c:v>
                </c:pt>
                <c:pt idx="235">
                  <c:v>29434</c:v>
                </c:pt>
                <c:pt idx="236">
                  <c:v>29465</c:v>
                </c:pt>
                <c:pt idx="237">
                  <c:v>29495</c:v>
                </c:pt>
                <c:pt idx="238">
                  <c:v>29526</c:v>
                </c:pt>
                <c:pt idx="239">
                  <c:v>29556</c:v>
                </c:pt>
                <c:pt idx="240">
                  <c:v>29587</c:v>
                </c:pt>
                <c:pt idx="241">
                  <c:v>29618</c:v>
                </c:pt>
                <c:pt idx="242">
                  <c:v>29646</c:v>
                </c:pt>
                <c:pt idx="243">
                  <c:v>29677</c:v>
                </c:pt>
                <c:pt idx="244">
                  <c:v>29707</c:v>
                </c:pt>
                <c:pt idx="245">
                  <c:v>29738</c:v>
                </c:pt>
                <c:pt idx="246">
                  <c:v>29768</c:v>
                </c:pt>
                <c:pt idx="247">
                  <c:v>29799</c:v>
                </c:pt>
                <c:pt idx="248">
                  <c:v>29830</c:v>
                </c:pt>
                <c:pt idx="249">
                  <c:v>29860</c:v>
                </c:pt>
                <c:pt idx="250">
                  <c:v>29891</c:v>
                </c:pt>
                <c:pt idx="251">
                  <c:v>29921</c:v>
                </c:pt>
                <c:pt idx="252">
                  <c:v>29952</c:v>
                </c:pt>
                <c:pt idx="253">
                  <c:v>29983</c:v>
                </c:pt>
                <c:pt idx="254">
                  <c:v>30011</c:v>
                </c:pt>
                <c:pt idx="255">
                  <c:v>30042</c:v>
                </c:pt>
                <c:pt idx="256">
                  <c:v>30072</c:v>
                </c:pt>
                <c:pt idx="257">
                  <c:v>30103</c:v>
                </c:pt>
                <c:pt idx="258">
                  <c:v>30133</c:v>
                </c:pt>
                <c:pt idx="259">
                  <c:v>30164</c:v>
                </c:pt>
                <c:pt idx="260">
                  <c:v>30195</c:v>
                </c:pt>
                <c:pt idx="261">
                  <c:v>30225</c:v>
                </c:pt>
                <c:pt idx="262">
                  <c:v>30256</c:v>
                </c:pt>
                <c:pt idx="263">
                  <c:v>30286</c:v>
                </c:pt>
                <c:pt idx="264">
                  <c:v>30317</c:v>
                </c:pt>
                <c:pt idx="265">
                  <c:v>30348</c:v>
                </c:pt>
                <c:pt idx="266">
                  <c:v>30376</c:v>
                </c:pt>
                <c:pt idx="267">
                  <c:v>30407</c:v>
                </c:pt>
                <c:pt idx="268">
                  <c:v>30437</c:v>
                </c:pt>
                <c:pt idx="269">
                  <c:v>30468</c:v>
                </c:pt>
                <c:pt idx="270">
                  <c:v>30498</c:v>
                </c:pt>
                <c:pt idx="271">
                  <c:v>30529</c:v>
                </c:pt>
                <c:pt idx="272">
                  <c:v>30560</c:v>
                </c:pt>
                <c:pt idx="273">
                  <c:v>30590</c:v>
                </c:pt>
                <c:pt idx="274">
                  <c:v>30621</c:v>
                </c:pt>
                <c:pt idx="275">
                  <c:v>30651</c:v>
                </c:pt>
                <c:pt idx="276">
                  <c:v>30682</c:v>
                </c:pt>
                <c:pt idx="277">
                  <c:v>30713</c:v>
                </c:pt>
                <c:pt idx="278">
                  <c:v>30742</c:v>
                </c:pt>
                <c:pt idx="279">
                  <c:v>30773</c:v>
                </c:pt>
                <c:pt idx="280">
                  <c:v>30803</c:v>
                </c:pt>
                <c:pt idx="281">
                  <c:v>30834</c:v>
                </c:pt>
                <c:pt idx="282">
                  <c:v>30864</c:v>
                </c:pt>
                <c:pt idx="283">
                  <c:v>30895</c:v>
                </c:pt>
                <c:pt idx="284">
                  <c:v>30926</c:v>
                </c:pt>
                <c:pt idx="285">
                  <c:v>30956</c:v>
                </c:pt>
                <c:pt idx="286">
                  <c:v>30987</c:v>
                </c:pt>
                <c:pt idx="287">
                  <c:v>31017</c:v>
                </c:pt>
                <c:pt idx="288">
                  <c:v>31048</c:v>
                </c:pt>
                <c:pt idx="289">
                  <c:v>31079</c:v>
                </c:pt>
                <c:pt idx="290">
                  <c:v>31107</c:v>
                </c:pt>
                <c:pt idx="291">
                  <c:v>31138</c:v>
                </c:pt>
                <c:pt idx="292">
                  <c:v>31168</c:v>
                </c:pt>
                <c:pt idx="293">
                  <c:v>31199</c:v>
                </c:pt>
                <c:pt idx="294">
                  <c:v>31229</c:v>
                </c:pt>
                <c:pt idx="295">
                  <c:v>31260</c:v>
                </c:pt>
                <c:pt idx="296">
                  <c:v>31291</c:v>
                </c:pt>
                <c:pt idx="297">
                  <c:v>31321</c:v>
                </c:pt>
                <c:pt idx="298">
                  <c:v>31352</c:v>
                </c:pt>
                <c:pt idx="299">
                  <c:v>31382</c:v>
                </c:pt>
                <c:pt idx="300">
                  <c:v>31413</c:v>
                </c:pt>
                <c:pt idx="301">
                  <c:v>31444</c:v>
                </c:pt>
                <c:pt idx="302">
                  <c:v>31472</c:v>
                </c:pt>
                <c:pt idx="303">
                  <c:v>31503</c:v>
                </c:pt>
                <c:pt idx="304">
                  <c:v>31533</c:v>
                </c:pt>
                <c:pt idx="305">
                  <c:v>31564</c:v>
                </c:pt>
                <c:pt idx="306">
                  <c:v>31594</c:v>
                </c:pt>
                <c:pt idx="307">
                  <c:v>31625</c:v>
                </c:pt>
                <c:pt idx="308">
                  <c:v>31656</c:v>
                </c:pt>
                <c:pt idx="309">
                  <c:v>31686</c:v>
                </c:pt>
                <c:pt idx="310">
                  <c:v>31717</c:v>
                </c:pt>
                <c:pt idx="311">
                  <c:v>31747</c:v>
                </c:pt>
                <c:pt idx="312">
                  <c:v>31778</c:v>
                </c:pt>
                <c:pt idx="313">
                  <c:v>31809</c:v>
                </c:pt>
                <c:pt idx="314">
                  <c:v>31837</c:v>
                </c:pt>
                <c:pt idx="315">
                  <c:v>31868</c:v>
                </c:pt>
                <c:pt idx="316">
                  <c:v>31898</c:v>
                </c:pt>
                <c:pt idx="317">
                  <c:v>31929</c:v>
                </c:pt>
                <c:pt idx="318">
                  <c:v>31959</c:v>
                </c:pt>
                <c:pt idx="319">
                  <c:v>31990</c:v>
                </c:pt>
                <c:pt idx="320">
                  <c:v>32021</c:v>
                </c:pt>
                <c:pt idx="321">
                  <c:v>32051</c:v>
                </c:pt>
                <c:pt idx="322">
                  <c:v>32082</c:v>
                </c:pt>
                <c:pt idx="323">
                  <c:v>32112</c:v>
                </c:pt>
                <c:pt idx="324">
                  <c:v>32143</c:v>
                </c:pt>
                <c:pt idx="325">
                  <c:v>32174</c:v>
                </c:pt>
                <c:pt idx="326">
                  <c:v>32203</c:v>
                </c:pt>
                <c:pt idx="327">
                  <c:v>32234</c:v>
                </c:pt>
                <c:pt idx="328">
                  <c:v>32264</c:v>
                </c:pt>
                <c:pt idx="329">
                  <c:v>32295</c:v>
                </c:pt>
                <c:pt idx="330">
                  <c:v>32325</c:v>
                </c:pt>
                <c:pt idx="331">
                  <c:v>32356</c:v>
                </c:pt>
                <c:pt idx="332">
                  <c:v>32387</c:v>
                </c:pt>
                <c:pt idx="333">
                  <c:v>32417</c:v>
                </c:pt>
                <c:pt idx="334">
                  <c:v>32448</c:v>
                </c:pt>
                <c:pt idx="335">
                  <c:v>32478</c:v>
                </c:pt>
                <c:pt idx="336">
                  <c:v>32509</c:v>
                </c:pt>
                <c:pt idx="337">
                  <c:v>32540</c:v>
                </c:pt>
                <c:pt idx="338">
                  <c:v>32568</c:v>
                </c:pt>
                <c:pt idx="339">
                  <c:v>32599</c:v>
                </c:pt>
                <c:pt idx="340">
                  <c:v>32629</c:v>
                </c:pt>
                <c:pt idx="341">
                  <c:v>32660</c:v>
                </c:pt>
                <c:pt idx="342">
                  <c:v>32690</c:v>
                </c:pt>
                <c:pt idx="343">
                  <c:v>32721</c:v>
                </c:pt>
                <c:pt idx="344">
                  <c:v>32752</c:v>
                </c:pt>
                <c:pt idx="345">
                  <c:v>32782</c:v>
                </c:pt>
                <c:pt idx="346">
                  <c:v>32813</c:v>
                </c:pt>
                <c:pt idx="347">
                  <c:v>32843</c:v>
                </c:pt>
                <c:pt idx="348">
                  <c:v>32874</c:v>
                </c:pt>
                <c:pt idx="349">
                  <c:v>32905</c:v>
                </c:pt>
                <c:pt idx="350">
                  <c:v>32933</c:v>
                </c:pt>
                <c:pt idx="351">
                  <c:v>32964</c:v>
                </c:pt>
                <c:pt idx="352">
                  <c:v>32994</c:v>
                </c:pt>
                <c:pt idx="353">
                  <c:v>33025</c:v>
                </c:pt>
                <c:pt idx="354">
                  <c:v>33055</c:v>
                </c:pt>
                <c:pt idx="355">
                  <c:v>33086</c:v>
                </c:pt>
                <c:pt idx="356">
                  <c:v>33117</c:v>
                </c:pt>
                <c:pt idx="357">
                  <c:v>33147</c:v>
                </c:pt>
                <c:pt idx="358">
                  <c:v>33178</c:v>
                </c:pt>
                <c:pt idx="359">
                  <c:v>33208</c:v>
                </c:pt>
                <c:pt idx="360">
                  <c:v>33239</c:v>
                </c:pt>
                <c:pt idx="361">
                  <c:v>33270</c:v>
                </c:pt>
                <c:pt idx="362">
                  <c:v>33298</c:v>
                </c:pt>
                <c:pt idx="363">
                  <c:v>33329</c:v>
                </c:pt>
                <c:pt idx="364">
                  <c:v>33359</c:v>
                </c:pt>
                <c:pt idx="365">
                  <c:v>33390</c:v>
                </c:pt>
                <c:pt idx="366">
                  <c:v>33420</c:v>
                </c:pt>
                <c:pt idx="367">
                  <c:v>33451</c:v>
                </c:pt>
                <c:pt idx="368">
                  <c:v>33482</c:v>
                </c:pt>
                <c:pt idx="369">
                  <c:v>33512</c:v>
                </c:pt>
                <c:pt idx="370">
                  <c:v>33543</c:v>
                </c:pt>
                <c:pt idx="371">
                  <c:v>33573</c:v>
                </c:pt>
                <c:pt idx="372">
                  <c:v>33604</c:v>
                </c:pt>
                <c:pt idx="373">
                  <c:v>33635</c:v>
                </c:pt>
                <c:pt idx="374">
                  <c:v>33664</c:v>
                </c:pt>
                <c:pt idx="375">
                  <c:v>33695</c:v>
                </c:pt>
                <c:pt idx="376">
                  <c:v>33725</c:v>
                </c:pt>
                <c:pt idx="377">
                  <c:v>33756</c:v>
                </c:pt>
                <c:pt idx="378">
                  <c:v>33786</c:v>
                </c:pt>
                <c:pt idx="379">
                  <c:v>33817</c:v>
                </c:pt>
                <c:pt idx="380">
                  <c:v>33848</c:v>
                </c:pt>
                <c:pt idx="381">
                  <c:v>33878</c:v>
                </c:pt>
                <c:pt idx="382">
                  <c:v>33909</c:v>
                </c:pt>
                <c:pt idx="383">
                  <c:v>33939</c:v>
                </c:pt>
                <c:pt idx="384">
                  <c:v>33970</c:v>
                </c:pt>
                <c:pt idx="385">
                  <c:v>34001</c:v>
                </c:pt>
                <c:pt idx="386">
                  <c:v>34029</c:v>
                </c:pt>
                <c:pt idx="387">
                  <c:v>34060</c:v>
                </c:pt>
                <c:pt idx="388">
                  <c:v>34090</c:v>
                </c:pt>
                <c:pt idx="389">
                  <c:v>34121</c:v>
                </c:pt>
                <c:pt idx="390">
                  <c:v>34151</c:v>
                </c:pt>
                <c:pt idx="391">
                  <c:v>34182</c:v>
                </c:pt>
                <c:pt idx="392">
                  <c:v>34213</c:v>
                </c:pt>
                <c:pt idx="393">
                  <c:v>34243</c:v>
                </c:pt>
                <c:pt idx="394">
                  <c:v>34274</c:v>
                </c:pt>
                <c:pt idx="395">
                  <c:v>34304</c:v>
                </c:pt>
                <c:pt idx="396">
                  <c:v>34335</c:v>
                </c:pt>
                <c:pt idx="397">
                  <c:v>34366</c:v>
                </c:pt>
                <c:pt idx="398">
                  <c:v>34394</c:v>
                </c:pt>
                <c:pt idx="399">
                  <c:v>34425</c:v>
                </c:pt>
                <c:pt idx="400">
                  <c:v>34455</c:v>
                </c:pt>
                <c:pt idx="401">
                  <c:v>34486</c:v>
                </c:pt>
                <c:pt idx="402">
                  <c:v>34516</c:v>
                </c:pt>
                <c:pt idx="403">
                  <c:v>34547</c:v>
                </c:pt>
                <c:pt idx="404">
                  <c:v>34578</c:v>
                </c:pt>
                <c:pt idx="405">
                  <c:v>34608</c:v>
                </c:pt>
                <c:pt idx="406">
                  <c:v>34639</c:v>
                </c:pt>
                <c:pt idx="407">
                  <c:v>34669</c:v>
                </c:pt>
                <c:pt idx="408">
                  <c:v>34700</c:v>
                </c:pt>
                <c:pt idx="409">
                  <c:v>34731</c:v>
                </c:pt>
                <c:pt idx="410">
                  <c:v>34759</c:v>
                </c:pt>
                <c:pt idx="411">
                  <c:v>34790</c:v>
                </c:pt>
                <c:pt idx="412">
                  <c:v>34820</c:v>
                </c:pt>
                <c:pt idx="413">
                  <c:v>34851</c:v>
                </c:pt>
                <c:pt idx="414">
                  <c:v>34881</c:v>
                </c:pt>
                <c:pt idx="415">
                  <c:v>34912</c:v>
                </c:pt>
                <c:pt idx="416">
                  <c:v>34943</c:v>
                </c:pt>
                <c:pt idx="417">
                  <c:v>34973</c:v>
                </c:pt>
                <c:pt idx="418">
                  <c:v>35004</c:v>
                </c:pt>
                <c:pt idx="419">
                  <c:v>35034</c:v>
                </c:pt>
                <c:pt idx="420">
                  <c:v>35065</c:v>
                </c:pt>
                <c:pt idx="421">
                  <c:v>35096</c:v>
                </c:pt>
                <c:pt idx="422">
                  <c:v>35125</c:v>
                </c:pt>
                <c:pt idx="423">
                  <c:v>35156</c:v>
                </c:pt>
                <c:pt idx="424">
                  <c:v>35186</c:v>
                </c:pt>
                <c:pt idx="425">
                  <c:v>35217</c:v>
                </c:pt>
                <c:pt idx="426">
                  <c:v>35247</c:v>
                </c:pt>
                <c:pt idx="427">
                  <c:v>35278</c:v>
                </c:pt>
                <c:pt idx="428">
                  <c:v>35309</c:v>
                </c:pt>
                <c:pt idx="429">
                  <c:v>35339</c:v>
                </c:pt>
                <c:pt idx="430">
                  <c:v>35370</c:v>
                </c:pt>
                <c:pt idx="431">
                  <c:v>35400</c:v>
                </c:pt>
                <c:pt idx="432">
                  <c:v>35431</c:v>
                </c:pt>
                <c:pt idx="433">
                  <c:v>35462</c:v>
                </c:pt>
                <c:pt idx="434">
                  <c:v>35490</c:v>
                </c:pt>
                <c:pt idx="435">
                  <c:v>35521</c:v>
                </c:pt>
                <c:pt idx="436">
                  <c:v>35551</c:v>
                </c:pt>
                <c:pt idx="437">
                  <c:v>35582</c:v>
                </c:pt>
                <c:pt idx="438">
                  <c:v>35612</c:v>
                </c:pt>
                <c:pt idx="439">
                  <c:v>35643</c:v>
                </c:pt>
                <c:pt idx="440">
                  <c:v>35674</c:v>
                </c:pt>
                <c:pt idx="441">
                  <c:v>35704</c:v>
                </c:pt>
                <c:pt idx="442">
                  <c:v>35735</c:v>
                </c:pt>
                <c:pt idx="443">
                  <c:v>35765</c:v>
                </c:pt>
                <c:pt idx="444">
                  <c:v>35796</c:v>
                </c:pt>
                <c:pt idx="445">
                  <c:v>35827</c:v>
                </c:pt>
                <c:pt idx="446">
                  <c:v>35855</c:v>
                </c:pt>
                <c:pt idx="447">
                  <c:v>35886</c:v>
                </c:pt>
                <c:pt idx="448">
                  <c:v>35916</c:v>
                </c:pt>
                <c:pt idx="449">
                  <c:v>35947</c:v>
                </c:pt>
                <c:pt idx="450">
                  <c:v>35977</c:v>
                </c:pt>
                <c:pt idx="451">
                  <c:v>36008</c:v>
                </c:pt>
                <c:pt idx="452">
                  <c:v>36039</c:v>
                </c:pt>
                <c:pt idx="453">
                  <c:v>36069</c:v>
                </c:pt>
                <c:pt idx="454">
                  <c:v>36100</c:v>
                </c:pt>
                <c:pt idx="455">
                  <c:v>36130</c:v>
                </c:pt>
                <c:pt idx="456">
                  <c:v>36161</c:v>
                </c:pt>
                <c:pt idx="457">
                  <c:v>36192</c:v>
                </c:pt>
                <c:pt idx="458">
                  <c:v>36220</c:v>
                </c:pt>
                <c:pt idx="459">
                  <c:v>36251</c:v>
                </c:pt>
                <c:pt idx="460">
                  <c:v>36281</c:v>
                </c:pt>
                <c:pt idx="461">
                  <c:v>36312</c:v>
                </c:pt>
                <c:pt idx="462">
                  <c:v>36342</c:v>
                </c:pt>
                <c:pt idx="463">
                  <c:v>36373</c:v>
                </c:pt>
                <c:pt idx="464">
                  <c:v>36404</c:v>
                </c:pt>
                <c:pt idx="465">
                  <c:v>36434</c:v>
                </c:pt>
                <c:pt idx="466">
                  <c:v>36465</c:v>
                </c:pt>
                <c:pt idx="467">
                  <c:v>36495</c:v>
                </c:pt>
                <c:pt idx="468">
                  <c:v>36526</c:v>
                </c:pt>
                <c:pt idx="469">
                  <c:v>36557</c:v>
                </c:pt>
                <c:pt idx="470">
                  <c:v>36586</c:v>
                </c:pt>
                <c:pt idx="471">
                  <c:v>36617</c:v>
                </c:pt>
                <c:pt idx="472">
                  <c:v>36647</c:v>
                </c:pt>
                <c:pt idx="473">
                  <c:v>36678</c:v>
                </c:pt>
                <c:pt idx="474">
                  <c:v>36708</c:v>
                </c:pt>
                <c:pt idx="475">
                  <c:v>36739</c:v>
                </c:pt>
                <c:pt idx="476">
                  <c:v>36770</c:v>
                </c:pt>
                <c:pt idx="477">
                  <c:v>36800</c:v>
                </c:pt>
                <c:pt idx="478">
                  <c:v>36831</c:v>
                </c:pt>
                <c:pt idx="479">
                  <c:v>36861</c:v>
                </c:pt>
                <c:pt idx="480">
                  <c:v>36892</c:v>
                </c:pt>
                <c:pt idx="481">
                  <c:v>36923</c:v>
                </c:pt>
                <c:pt idx="482">
                  <c:v>36951</c:v>
                </c:pt>
                <c:pt idx="483">
                  <c:v>36982</c:v>
                </c:pt>
                <c:pt idx="484">
                  <c:v>37012</c:v>
                </c:pt>
                <c:pt idx="485">
                  <c:v>37043</c:v>
                </c:pt>
                <c:pt idx="486">
                  <c:v>37073</c:v>
                </c:pt>
                <c:pt idx="487">
                  <c:v>37104</c:v>
                </c:pt>
                <c:pt idx="488">
                  <c:v>37135</c:v>
                </c:pt>
                <c:pt idx="489">
                  <c:v>37165</c:v>
                </c:pt>
                <c:pt idx="490">
                  <c:v>37196</c:v>
                </c:pt>
                <c:pt idx="491">
                  <c:v>37226</c:v>
                </c:pt>
                <c:pt idx="492">
                  <c:v>37257</c:v>
                </c:pt>
                <c:pt idx="493">
                  <c:v>37288</c:v>
                </c:pt>
                <c:pt idx="494">
                  <c:v>37316</c:v>
                </c:pt>
                <c:pt idx="495">
                  <c:v>37347</c:v>
                </c:pt>
                <c:pt idx="496">
                  <c:v>37377</c:v>
                </c:pt>
                <c:pt idx="497">
                  <c:v>37408</c:v>
                </c:pt>
                <c:pt idx="498">
                  <c:v>37438</c:v>
                </c:pt>
                <c:pt idx="499">
                  <c:v>37469</c:v>
                </c:pt>
                <c:pt idx="500">
                  <c:v>37500</c:v>
                </c:pt>
                <c:pt idx="501">
                  <c:v>37530</c:v>
                </c:pt>
                <c:pt idx="502">
                  <c:v>37561</c:v>
                </c:pt>
                <c:pt idx="503">
                  <c:v>37591</c:v>
                </c:pt>
                <c:pt idx="504">
                  <c:v>37622</c:v>
                </c:pt>
                <c:pt idx="505">
                  <c:v>37653</c:v>
                </c:pt>
                <c:pt idx="506">
                  <c:v>37681</c:v>
                </c:pt>
                <c:pt idx="507">
                  <c:v>37712</c:v>
                </c:pt>
                <c:pt idx="508">
                  <c:v>37742</c:v>
                </c:pt>
                <c:pt idx="509">
                  <c:v>37773</c:v>
                </c:pt>
                <c:pt idx="510">
                  <c:v>37803</c:v>
                </c:pt>
                <c:pt idx="511">
                  <c:v>37834</c:v>
                </c:pt>
                <c:pt idx="512">
                  <c:v>37865</c:v>
                </c:pt>
                <c:pt idx="513">
                  <c:v>37895</c:v>
                </c:pt>
                <c:pt idx="514">
                  <c:v>37926</c:v>
                </c:pt>
                <c:pt idx="515">
                  <c:v>37956</c:v>
                </c:pt>
                <c:pt idx="516">
                  <c:v>37987</c:v>
                </c:pt>
                <c:pt idx="517">
                  <c:v>38018</c:v>
                </c:pt>
                <c:pt idx="518">
                  <c:v>38047</c:v>
                </c:pt>
                <c:pt idx="519">
                  <c:v>38078</c:v>
                </c:pt>
                <c:pt idx="520">
                  <c:v>38108</c:v>
                </c:pt>
                <c:pt idx="521">
                  <c:v>38139</c:v>
                </c:pt>
                <c:pt idx="522">
                  <c:v>38169</c:v>
                </c:pt>
                <c:pt idx="523">
                  <c:v>38200</c:v>
                </c:pt>
                <c:pt idx="524">
                  <c:v>38231</c:v>
                </c:pt>
                <c:pt idx="525">
                  <c:v>38261</c:v>
                </c:pt>
                <c:pt idx="526">
                  <c:v>38292</c:v>
                </c:pt>
                <c:pt idx="527">
                  <c:v>38322</c:v>
                </c:pt>
                <c:pt idx="528">
                  <c:v>38353</c:v>
                </c:pt>
                <c:pt idx="529">
                  <c:v>38384</c:v>
                </c:pt>
                <c:pt idx="530">
                  <c:v>38412</c:v>
                </c:pt>
                <c:pt idx="531">
                  <c:v>38443</c:v>
                </c:pt>
                <c:pt idx="532">
                  <c:v>38473</c:v>
                </c:pt>
                <c:pt idx="533">
                  <c:v>38504</c:v>
                </c:pt>
                <c:pt idx="534">
                  <c:v>38534</c:v>
                </c:pt>
                <c:pt idx="535">
                  <c:v>38565</c:v>
                </c:pt>
                <c:pt idx="536">
                  <c:v>38596</c:v>
                </c:pt>
                <c:pt idx="537">
                  <c:v>38626</c:v>
                </c:pt>
                <c:pt idx="538">
                  <c:v>38657</c:v>
                </c:pt>
                <c:pt idx="539">
                  <c:v>38687</c:v>
                </c:pt>
                <c:pt idx="540">
                  <c:v>38718</c:v>
                </c:pt>
                <c:pt idx="541">
                  <c:v>38749</c:v>
                </c:pt>
                <c:pt idx="542">
                  <c:v>38777</c:v>
                </c:pt>
                <c:pt idx="543">
                  <c:v>38808</c:v>
                </c:pt>
                <c:pt idx="544">
                  <c:v>38838</c:v>
                </c:pt>
                <c:pt idx="545">
                  <c:v>38869</c:v>
                </c:pt>
                <c:pt idx="546">
                  <c:v>38899</c:v>
                </c:pt>
                <c:pt idx="547">
                  <c:v>38930</c:v>
                </c:pt>
                <c:pt idx="548">
                  <c:v>38961</c:v>
                </c:pt>
                <c:pt idx="549">
                  <c:v>38991</c:v>
                </c:pt>
                <c:pt idx="550">
                  <c:v>39022</c:v>
                </c:pt>
                <c:pt idx="551">
                  <c:v>39052</c:v>
                </c:pt>
                <c:pt idx="552">
                  <c:v>39083</c:v>
                </c:pt>
                <c:pt idx="553">
                  <c:v>39114</c:v>
                </c:pt>
                <c:pt idx="554">
                  <c:v>39142</c:v>
                </c:pt>
                <c:pt idx="555">
                  <c:v>39173</c:v>
                </c:pt>
                <c:pt idx="556">
                  <c:v>39203</c:v>
                </c:pt>
                <c:pt idx="557">
                  <c:v>39234</c:v>
                </c:pt>
                <c:pt idx="558">
                  <c:v>39264</c:v>
                </c:pt>
                <c:pt idx="559">
                  <c:v>39295</c:v>
                </c:pt>
                <c:pt idx="560">
                  <c:v>39326</c:v>
                </c:pt>
                <c:pt idx="561">
                  <c:v>39356</c:v>
                </c:pt>
                <c:pt idx="562">
                  <c:v>39387</c:v>
                </c:pt>
                <c:pt idx="563">
                  <c:v>39417</c:v>
                </c:pt>
                <c:pt idx="564">
                  <c:v>39448</c:v>
                </c:pt>
                <c:pt idx="565">
                  <c:v>39479</c:v>
                </c:pt>
                <c:pt idx="566">
                  <c:v>39508</c:v>
                </c:pt>
                <c:pt idx="567">
                  <c:v>39539</c:v>
                </c:pt>
                <c:pt idx="568">
                  <c:v>39569</c:v>
                </c:pt>
                <c:pt idx="569">
                  <c:v>39600</c:v>
                </c:pt>
                <c:pt idx="570">
                  <c:v>39630</c:v>
                </c:pt>
                <c:pt idx="571">
                  <c:v>39661</c:v>
                </c:pt>
                <c:pt idx="572">
                  <c:v>39692</c:v>
                </c:pt>
                <c:pt idx="573">
                  <c:v>39722</c:v>
                </c:pt>
                <c:pt idx="574">
                  <c:v>39753</c:v>
                </c:pt>
                <c:pt idx="575">
                  <c:v>39783</c:v>
                </c:pt>
                <c:pt idx="576">
                  <c:v>39814</c:v>
                </c:pt>
                <c:pt idx="577">
                  <c:v>39845</c:v>
                </c:pt>
                <c:pt idx="578">
                  <c:v>39873</c:v>
                </c:pt>
                <c:pt idx="579">
                  <c:v>39904</c:v>
                </c:pt>
                <c:pt idx="580">
                  <c:v>39934</c:v>
                </c:pt>
                <c:pt idx="581">
                  <c:v>39965</c:v>
                </c:pt>
                <c:pt idx="582">
                  <c:v>39995</c:v>
                </c:pt>
                <c:pt idx="583">
                  <c:v>40026</c:v>
                </c:pt>
                <c:pt idx="584">
                  <c:v>40057</c:v>
                </c:pt>
                <c:pt idx="585">
                  <c:v>40087</c:v>
                </c:pt>
                <c:pt idx="586">
                  <c:v>40118</c:v>
                </c:pt>
                <c:pt idx="587">
                  <c:v>40148</c:v>
                </c:pt>
                <c:pt idx="588">
                  <c:v>40179</c:v>
                </c:pt>
                <c:pt idx="589">
                  <c:v>40210</c:v>
                </c:pt>
                <c:pt idx="590">
                  <c:v>40238</c:v>
                </c:pt>
                <c:pt idx="591">
                  <c:v>40269</c:v>
                </c:pt>
                <c:pt idx="592">
                  <c:v>40299</c:v>
                </c:pt>
                <c:pt idx="593">
                  <c:v>40330</c:v>
                </c:pt>
                <c:pt idx="594">
                  <c:v>40360</c:v>
                </c:pt>
                <c:pt idx="595">
                  <c:v>40391</c:v>
                </c:pt>
                <c:pt idx="596">
                  <c:v>40422</c:v>
                </c:pt>
                <c:pt idx="597">
                  <c:v>40452</c:v>
                </c:pt>
                <c:pt idx="598">
                  <c:v>40483</c:v>
                </c:pt>
                <c:pt idx="599">
                  <c:v>40513</c:v>
                </c:pt>
                <c:pt idx="600">
                  <c:v>40544</c:v>
                </c:pt>
                <c:pt idx="601">
                  <c:v>40575</c:v>
                </c:pt>
                <c:pt idx="602">
                  <c:v>40603</c:v>
                </c:pt>
                <c:pt idx="603">
                  <c:v>40634</c:v>
                </c:pt>
                <c:pt idx="604">
                  <c:v>40664</c:v>
                </c:pt>
                <c:pt idx="605">
                  <c:v>40695</c:v>
                </c:pt>
                <c:pt idx="606">
                  <c:v>40725</c:v>
                </c:pt>
                <c:pt idx="607">
                  <c:v>40756</c:v>
                </c:pt>
                <c:pt idx="608">
                  <c:v>40787</c:v>
                </c:pt>
                <c:pt idx="609">
                  <c:v>40817</c:v>
                </c:pt>
                <c:pt idx="610">
                  <c:v>40848</c:v>
                </c:pt>
                <c:pt idx="611">
                  <c:v>40878</c:v>
                </c:pt>
                <c:pt idx="612">
                  <c:v>40909</c:v>
                </c:pt>
                <c:pt idx="613">
                  <c:v>40940</c:v>
                </c:pt>
                <c:pt idx="614">
                  <c:v>40969</c:v>
                </c:pt>
                <c:pt idx="615">
                  <c:v>41000</c:v>
                </c:pt>
                <c:pt idx="616">
                  <c:v>41030</c:v>
                </c:pt>
                <c:pt idx="617">
                  <c:v>41061</c:v>
                </c:pt>
                <c:pt idx="618">
                  <c:v>41091</c:v>
                </c:pt>
                <c:pt idx="619">
                  <c:v>41122</c:v>
                </c:pt>
                <c:pt idx="620">
                  <c:v>41153</c:v>
                </c:pt>
                <c:pt idx="621">
                  <c:v>41183</c:v>
                </c:pt>
                <c:pt idx="622">
                  <c:v>41214</c:v>
                </c:pt>
                <c:pt idx="623">
                  <c:v>41244</c:v>
                </c:pt>
                <c:pt idx="624">
                  <c:v>41275</c:v>
                </c:pt>
                <c:pt idx="625">
                  <c:v>41306</c:v>
                </c:pt>
                <c:pt idx="626">
                  <c:v>41334</c:v>
                </c:pt>
                <c:pt idx="627">
                  <c:v>41365</c:v>
                </c:pt>
                <c:pt idx="628">
                  <c:v>41395</c:v>
                </c:pt>
                <c:pt idx="629">
                  <c:v>41426</c:v>
                </c:pt>
                <c:pt idx="630">
                  <c:v>41456</c:v>
                </c:pt>
                <c:pt idx="631">
                  <c:v>41487</c:v>
                </c:pt>
                <c:pt idx="632">
                  <c:v>41518</c:v>
                </c:pt>
                <c:pt idx="633">
                  <c:v>41548</c:v>
                </c:pt>
                <c:pt idx="634">
                  <c:v>41579</c:v>
                </c:pt>
                <c:pt idx="635">
                  <c:v>41609</c:v>
                </c:pt>
                <c:pt idx="636">
                  <c:v>41640</c:v>
                </c:pt>
                <c:pt idx="637">
                  <c:v>41671</c:v>
                </c:pt>
                <c:pt idx="638">
                  <c:v>41699</c:v>
                </c:pt>
                <c:pt idx="639">
                  <c:v>41730</c:v>
                </c:pt>
                <c:pt idx="640">
                  <c:v>41760</c:v>
                </c:pt>
                <c:pt idx="641">
                  <c:v>41791</c:v>
                </c:pt>
                <c:pt idx="642">
                  <c:v>41821</c:v>
                </c:pt>
                <c:pt idx="643">
                  <c:v>41852</c:v>
                </c:pt>
                <c:pt idx="644">
                  <c:v>41883</c:v>
                </c:pt>
                <c:pt idx="645">
                  <c:v>41913</c:v>
                </c:pt>
                <c:pt idx="646">
                  <c:v>41944</c:v>
                </c:pt>
                <c:pt idx="647">
                  <c:v>41974</c:v>
                </c:pt>
                <c:pt idx="648">
                  <c:v>42005</c:v>
                </c:pt>
                <c:pt idx="649">
                  <c:v>42036</c:v>
                </c:pt>
                <c:pt idx="650">
                  <c:v>42064</c:v>
                </c:pt>
                <c:pt idx="651">
                  <c:v>42095</c:v>
                </c:pt>
                <c:pt idx="652">
                  <c:v>42125</c:v>
                </c:pt>
                <c:pt idx="653">
                  <c:v>42156</c:v>
                </c:pt>
                <c:pt idx="654">
                  <c:v>42186</c:v>
                </c:pt>
                <c:pt idx="655">
                  <c:v>42217</c:v>
                </c:pt>
                <c:pt idx="656">
                  <c:v>42248</c:v>
                </c:pt>
                <c:pt idx="657">
                  <c:v>42278</c:v>
                </c:pt>
                <c:pt idx="658">
                  <c:v>42309</c:v>
                </c:pt>
                <c:pt idx="659">
                  <c:v>42339</c:v>
                </c:pt>
                <c:pt idx="660">
                  <c:v>42370</c:v>
                </c:pt>
                <c:pt idx="661">
                  <c:v>42401</c:v>
                </c:pt>
                <c:pt idx="662">
                  <c:v>42430</c:v>
                </c:pt>
                <c:pt idx="663">
                  <c:v>42461</c:v>
                </c:pt>
                <c:pt idx="664">
                  <c:v>42491</c:v>
                </c:pt>
                <c:pt idx="665">
                  <c:v>42522</c:v>
                </c:pt>
                <c:pt idx="666">
                  <c:v>42552</c:v>
                </c:pt>
                <c:pt idx="667">
                  <c:v>42583</c:v>
                </c:pt>
                <c:pt idx="668">
                  <c:v>42614</c:v>
                </c:pt>
                <c:pt idx="669">
                  <c:v>42644</c:v>
                </c:pt>
                <c:pt idx="670">
                  <c:v>42675</c:v>
                </c:pt>
                <c:pt idx="671">
                  <c:v>42705</c:v>
                </c:pt>
                <c:pt idx="672">
                  <c:v>42736</c:v>
                </c:pt>
                <c:pt idx="673">
                  <c:v>42767</c:v>
                </c:pt>
                <c:pt idx="674">
                  <c:v>42795</c:v>
                </c:pt>
                <c:pt idx="675">
                  <c:v>42826</c:v>
                </c:pt>
                <c:pt idx="676">
                  <c:v>42856</c:v>
                </c:pt>
                <c:pt idx="677">
                  <c:v>42887</c:v>
                </c:pt>
                <c:pt idx="678">
                  <c:v>42917</c:v>
                </c:pt>
                <c:pt idx="679">
                  <c:v>42948</c:v>
                </c:pt>
                <c:pt idx="680">
                  <c:v>43009</c:v>
                </c:pt>
                <c:pt idx="681">
                  <c:v>43040</c:v>
                </c:pt>
                <c:pt idx="682">
                  <c:v>43070</c:v>
                </c:pt>
              </c:numCache>
            </c:numRef>
          </c:cat>
          <c:val>
            <c:numRef>
              <c:f>Inflation!$E$16:$E$699</c:f>
              <c:numCache>
                <c:formatCode>0%</c:formatCode>
                <c:ptCount val="683"/>
                <c:pt idx="0">
                  <c:v>0.20795612813370412</c:v>
                </c:pt>
                <c:pt idx="1">
                  <c:v>0.20242424242424262</c:v>
                </c:pt>
                <c:pt idx="2">
                  <c:v>0.17545939537640831</c:v>
                </c:pt>
                <c:pt idx="3">
                  <c:v>0.185605419136325</c:v>
                </c:pt>
                <c:pt idx="4">
                  <c:v>0.17385500959372457</c:v>
                </c:pt>
                <c:pt idx="5">
                  <c:v>0.17574852782615857</c:v>
                </c:pt>
                <c:pt idx="6">
                  <c:v>0.16803144448084084</c:v>
                </c:pt>
                <c:pt idx="7">
                  <c:v>0.16811641329973215</c:v>
                </c:pt>
                <c:pt idx="8">
                  <c:v>0.13818498574596227</c:v>
                </c:pt>
                <c:pt idx="9">
                  <c:v>0.13997000078945243</c:v>
                </c:pt>
                <c:pt idx="10">
                  <c:v>0.13761254268860545</c:v>
                </c:pt>
                <c:pt idx="11">
                  <c:v>0.13360012313375447</c:v>
                </c:pt>
                <c:pt idx="12">
                  <c:v>6.4351084528356362E-2</c:v>
                </c:pt>
                <c:pt idx="13">
                  <c:v>6.3508064516128782E-2</c:v>
                </c:pt>
                <c:pt idx="14">
                  <c:v>5.2733952885240409E-2</c:v>
                </c:pt>
                <c:pt idx="15">
                  <c:v>5.1778317383232242E-2</c:v>
                </c:pt>
                <c:pt idx="16">
                  <c:v>4.3067301542180747E-2</c:v>
                </c:pt>
                <c:pt idx="17">
                  <c:v>4.1619638826184246E-2</c:v>
                </c:pt>
                <c:pt idx="18">
                  <c:v>2.1312394840155902E-2</c:v>
                </c:pt>
                <c:pt idx="19">
                  <c:v>1.6911406500105475E-2</c:v>
                </c:pt>
                <c:pt idx="20">
                  <c:v>1.968969595769865E-2</c:v>
                </c:pt>
                <c:pt idx="21">
                  <c:v>1.8005540166204481E-2</c:v>
                </c:pt>
                <c:pt idx="22">
                  <c:v>5.9357303677429751E-3</c:v>
                </c:pt>
                <c:pt idx="23">
                  <c:v>3.9375424304137763E-3</c:v>
                </c:pt>
                <c:pt idx="24">
                  <c:v>4.4008124576844221E-3</c:v>
                </c:pt>
                <c:pt idx="25">
                  <c:v>7.582938388627003E-3</c:v>
                </c:pt>
                <c:pt idx="26">
                  <c:v>2.1624580852664499E-2</c:v>
                </c:pt>
                <c:pt idx="27">
                  <c:v>1.6907720513342106E-2</c:v>
                </c:pt>
                <c:pt idx="28">
                  <c:v>2.3574299925052777E-2</c:v>
                </c:pt>
                <c:pt idx="29">
                  <c:v>2.0587836922661085E-2</c:v>
                </c:pt>
                <c:pt idx="30">
                  <c:v>3.7685337726523827E-2</c:v>
                </c:pt>
                <c:pt idx="31">
                  <c:v>3.7845606350944472E-2</c:v>
                </c:pt>
                <c:pt idx="32">
                  <c:v>3.800491266375583E-2</c:v>
                </c:pt>
                <c:pt idx="33">
                  <c:v>3.8163265306122796E-2</c:v>
                </c:pt>
                <c:pt idx="34">
                  <c:v>3.7981551817688697E-2</c:v>
                </c:pt>
                <c:pt idx="35">
                  <c:v>3.7800919664593202E-2</c:v>
                </c:pt>
                <c:pt idx="36">
                  <c:v>3.7246976045089975E-2</c:v>
                </c:pt>
                <c:pt idx="37">
                  <c:v>5.4099702863181998E-2</c:v>
                </c:pt>
                <c:pt idx="38">
                  <c:v>4.3388719100686091E-2</c:v>
                </c:pt>
                <c:pt idx="39">
                  <c:v>3.379771225288497E-2</c:v>
                </c:pt>
                <c:pt idx="40">
                  <c:v>4.0008521061736246E-2</c:v>
                </c:pt>
                <c:pt idx="41">
                  <c:v>4.3042047842119624E-2</c:v>
                </c:pt>
                <c:pt idx="42">
                  <c:v>3.1455720652064256E-2</c:v>
                </c:pt>
                <c:pt idx="43">
                  <c:v>4.6904258215306083E-2</c:v>
                </c:pt>
                <c:pt idx="44">
                  <c:v>5.2928189643487666E-2</c:v>
                </c:pt>
                <c:pt idx="45">
                  <c:v>4.9616443814061162E-2</c:v>
                </c:pt>
                <c:pt idx="46">
                  <c:v>5.0788049865772233E-2</c:v>
                </c:pt>
                <c:pt idx="47">
                  <c:v>4.7843898817084174E-2</c:v>
                </c:pt>
                <c:pt idx="48">
                  <c:v>4.2008196731988745E-2</c:v>
                </c:pt>
                <c:pt idx="49">
                  <c:v>3.2160804020100686E-2</c:v>
                </c:pt>
                <c:pt idx="50">
                  <c:v>4.554655870491553E-2</c:v>
                </c:pt>
                <c:pt idx="51">
                  <c:v>5.29531568126278E-2</c:v>
                </c:pt>
                <c:pt idx="52">
                  <c:v>4.2381432896491544E-2</c:v>
                </c:pt>
                <c:pt idx="53">
                  <c:v>3.9117352046138087E-2</c:v>
                </c:pt>
                <c:pt idx="54">
                  <c:v>4.3478260869565188E-2</c:v>
                </c:pt>
                <c:pt idx="55">
                  <c:v>2.2840119165838946E-2</c:v>
                </c:pt>
                <c:pt idx="56">
                  <c:v>4.2322834646085772E-2</c:v>
                </c:pt>
                <c:pt idx="57">
                  <c:v>3.3464566939306994E-2</c:v>
                </c:pt>
                <c:pt idx="58">
                  <c:v>2.8431372539216238E-2</c:v>
                </c:pt>
                <c:pt idx="59">
                  <c:v>3.9215686274510109E-2</c:v>
                </c:pt>
                <c:pt idx="60">
                  <c:v>5.1130776784660936E-2</c:v>
                </c:pt>
                <c:pt idx="61">
                  <c:v>3.2132424537486548E-2</c:v>
                </c:pt>
                <c:pt idx="62">
                  <c:v>3.194578896449185E-2</c:v>
                </c:pt>
                <c:pt idx="63">
                  <c:v>3.4816247592213356E-2</c:v>
                </c:pt>
                <c:pt idx="64">
                  <c:v>3.581800581835326E-2</c:v>
                </c:pt>
                <c:pt idx="65">
                  <c:v>3.1853281853589932E-2</c:v>
                </c:pt>
                <c:pt idx="66">
                  <c:v>2.9069767441861627E-2</c:v>
                </c:pt>
                <c:pt idx="67">
                  <c:v>2.9126213592232109E-2</c:v>
                </c:pt>
                <c:pt idx="68">
                  <c:v>4.7214353163811396E-3</c:v>
                </c:pt>
                <c:pt idx="69">
                  <c:v>2.5714285714285579E-2</c:v>
                </c:pt>
                <c:pt idx="70">
                  <c:v>2.6692087712361534E-2</c:v>
                </c:pt>
                <c:pt idx="71">
                  <c:v>1.3207547160378308E-2</c:v>
                </c:pt>
                <c:pt idx="72">
                  <c:v>4.6772684752547367E-3</c:v>
                </c:pt>
                <c:pt idx="73">
                  <c:v>1.6981132066038684E-2</c:v>
                </c:pt>
                <c:pt idx="74">
                  <c:v>2.4390243912048026E-2</c:v>
                </c:pt>
                <c:pt idx="75">
                  <c:v>2.2429906532710264E-2</c:v>
                </c:pt>
                <c:pt idx="76">
                  <c:v>1.4953271018691483E-2</c:v>
                </c:pt>
                <c:pt idx="77">
                  <c:v>1.4031805425762434E-2</c:v>
                </c:pt>
                <c:pt idx="78">
                  <c:v>1.9774011290017546E-2</c:v>
                </c:pt>
                <c:pt idx="79">
                  <c:v>1.8867924528301883E-2</c:v>
                </c:pt>
                <c:pt idx="80">
                  <c:v>1.8796992481380004E-2</c:v>
                </c:pt>
                <c:pt idx="81">
                  <c:v>0</c:v>
                </c:pt>
                <c:pt idx="82">
                  <c:v>3.7140204178272018E-3</c:v>
                </c:pt>
                <c:pt idx="83">
                  <c:v>5.586592188133066E-3</c:v>
                </c:pt>
                <c:pt idx="84">
                  <c:v>1.3035381750586161E-2</c:v>
                </c:pt>
                <c:pt idx="85">
                  <c:v>1.4842300556723975E-2</c:v>
                </c:pt>
                <c:pt idx="86">
                  <c:v>5.4945054853487996E-3</c:v>
                </c:pt>
                <c:pt idx="87">
                  <c:v>1.8281535649153913E-3</c:v>
                </c:pt>
                <c:pt idx="88">
                  <c:v>1.3812154696259293E-2</c:v>
                </c:pt>
                <c:pt idx="89">
                  <c:v>4.6125461255042133E-3</c:v>
                </c:pt>
                <c:pt idx="90">
                  <c:v>-1.8467220683447971E-3</c:v>
                </c:pt>
                <c:pt idx="91">
                  <c:v>2.7777777685180638E-3</c:v>
                </c:pt>
                <c:pt idx="92">
                  <c:v>-6.4575645664797232E-3</c:v>
                </c:pt>
                <c:pt idx="93">
                  <c:v>9.2850509749342613E-4</c:v>
                </c:pt>
                <c:pt idx="94">
                  <c:v>9.2506938021199581E-3</c:v>
                </c:pt>
                <c:pt idx="95">
                  <c:v>2.6851851842593311E-2</c:v>
                </c:pt>
                <c:pt idx="96">
                  <c:v>6.4338235386616205E-3</c:v>
                </c:pt>
                <c:pt idx="97">
                  <c:v>2.7422303473741971E-2</c:v>
                </c:pt>
                <c:pt idx="98">
                  <c:v>3.1876138433805545E-2</c:v>
                </c:pt>
                <c:pt idx="99">
                  <c:v>1.3686131386985823E-2</c:v>
                </c:pt>
                <c:pt idx="100">
                  <c:v>9.99091735703872E-3</c:v>
                </c:pt>
                <c:pt idx="101">
                  <c:v>1.6528925629168523E-2</c:v>
                </c:pt>
                <c:pt idx="102">
                  <c:v>3.3302497696885647E-2</c:v>
                </c:pt>
                <c:pt idx="103">
                  <c:v>4.3397968615359162E-2</c:v>
                </c:pt>
                <c:pt idx="104">
                  <c:v>4.1782729805012853E-2</c:v>
                </c:pt>
                <c:pt idx="105">
                  <c:v>3.3395176252627223E-2</c:v>
                </c:pt>
                <c:pt idx="106">
                  <c:v>1.5582034830573965E-2</c:v>
                </c:pt>
                <c:pt idx="107">
                  <c:v>-2.7051397655802889E-3</c:v>
                </c:pt>
                <c:pt idx="108">
                  <c:v>9.1324200000042488E-4</c:v>
                </c:pt>
                <c:pt idx="109">
                  <c:v>-2.2241992882760742E-2</c:v>
                </c:pt>
                <c:pt idx="110">
                  <c:v>-3.0891438658701476E-2</c:v>
                </c:pt>
                <c:pt idx="111">
                  <c:v>-1.5301530153151832E-2</c:v>
                </c:pt>
                <c:pt idx="112">
                  <c:v>-2.6978417356110507E-3</c:v>
                </c:pt>
                <c:pt idx="113">
                  <c:v>-9.0334237579092758E-4</c:v>
                </c:pt>
                <c:pt idx="114">
                  <c:v>-8.9525514771719994E-3</c:v>
                </c:pt>
                <c:pt idx="115">
                  <c:v>-2.5663716823007832E-2</c:v>
                </c:pt>
                <c:pt idx="116">
                  <c:v>-1.1586452771834788E-2</c:v>
                </c:pt>
                <c:pt idx="117">
                  <c:v>-9.8743267505371213E-3</c:v>
                </c:pt>
                <c:pt idx="118">
                  <c:v>2.7075812274608424E-3</c:v>
                </c:pt>
                <c:pt idx="119">
                  <c:v>2.2603978300385963E-2</c:v>
                </c:pt>
                <c:pt idx="120">
                  <c:v>1.4598540155242867E-2</c:v>
                </c:pt>
                <c:pt idx="121">
                  <c:v>6.6424021847739212E-2</c:v>
                </c:pt>
                <c:pt idx="122">
                  <c:v>5.9198542805638299E-2</c:v>
                </c:pt>
                <c:pt idx="123">
                  <c:v>4.0219378428153929E-2</c:v>
                </c:pt>
                <c:pt idx="124">
                  <c:v>1.9837691614244868E-2</c:v>
                </c:pt>
                <c:pt idx="125">
                  <c:v>5.0632911401904845E-2</c:v>
                </c:pt>
                <c:pt idx="126">
                  <c:v>5.6007226729901882E-2</c:v>
                </c:pt>
                <c:pt idx="127">
                  <c:v>5.6312443233935028E-2</c:v>
                </c:pt>
                <c:pt idx="128">
                  <c:v>4.1478809747893752E-2</c:v>
                </c:pt>
                <c:pt idx="129">
                  <c:v>6.1650045331475223E-2</c:v>
                </c:pt>
                <c:pt idx="130">
                  <c:v>6.4806480648648579E-2</c:v>
                </c:pt>
                <c:pt idx="131">
                  <c:v>6.2776304165011343E-2</c:v>
                </c:pt>
                <c:pt idx="132">
                  <c:v>0.10791366906474886</c:v>
                </c:pt>
                <c:pt idx="133">
                  <c:v>7.5938566544367703E-2</c:v>
                </c:pt>
                <c:pt idx="134">
                  <c:v>8.3404987111636686E-2</c:v>
                </c:pt>
                <c:pt idx="135">
                  <c:v>9.6660808436701773E-2</c:v>
                </c:pt>
                <c:pt idx="136">
                  <c:v>9.7259062777163896E-2</c:v>
                </c:pt>
                <c:pt idx="137">
                  <c:v>6.5404475034423815E-2</c:v>
                </c:pt>
                <c:pt idx="138">
                  <c:v>7.4422583405254317E-2</c:v>
                </c:pt>
                <c:pt idx="139">
                  <c:v>9.9742046432500731E-2</c:v>
                </c:pt>
                <c:pt idx="140">
                  <c:v>0.1151515151428566</c:v>
                </c:pt>
                <c:pt idx="141">
                  <c:v>0.10162254484288336</c:v>
                </c:pt>
                <c:pt idx="142">
                  <c:v>9.0448013534154548E-2</c:v>
                </c:pt>
                <c:pt idx="143">
                  <c:v>9.4841930108152894E-2</c:v>
                </c:pt>
                <c:pt idx="144">
                  <c:v>9.2532467524350404E-2</c:v>
                </c:pt>
                <c:pt idx="145">
                  <c:v>7.5337034100518396E-2</c:v>
                </c:pt>
                <c:pt idx="146">
                  <c:v>0.11984126983333376</c:v>
                </c:pt>
                <c:pt idx="147">
                  <c:v>0.12419871794971349</c:v>
                </c:pt>
                <c:pt idx="148">
                  <c:v>0.12409347301469875</c:v>
                </c:pt>
                <c:pt idx="149">
                  <c:v>0.15185783521931984</c:v>
                </c:pt>
                <c:pt idx="150">
                  <c:v>0.15366242038338895</c:v>
                </c:pt>
                <c:pt idx="151">
                  <c:v>0.19624706803124448</c:v>
                </c:pt>
                <c:pt idx="152">
                  <c:v>0.12034161490776696</c:v>
                </c:pt>
                <c:pt idx="153">
                  <c:v>9.9224806193797699E-2</c:v>
                </c:pt>
                <c:pt idx="154">
                  <c:v>0.13565891472868108</c:v>
                </c:pt>
                <c:pt idx="155">
                  <c:v>0.14133738602691048</c:v>
                </c:pt>
                <c:pt idx="156">
                  <c:v>0.20950965824821233</c:v>
                </c:pt>
                <c:pt idx="157">
                  <c:v>0.36799410030507462</c:v>
                </c:pt>
                <c:pt idx="158">
                  <c:v>0.30191353650816399</c:v>
                </c:pt>
                <c:pt idx="159">
                  <c:v>0.27227369922503408</c:v>
                </c:pt>
                <c:pt idx="160">
                  <c:v>0.28960573475985729</c:v>
                </c:pt>
                <c:pt idx="161">
                  <c:v>0.2636746143146127</c:v>
                </c:pt>
                <c:pt idx="162">
                  <c:v>0.21808143548114667</c:v>
                </c:pt>
                <c:pt idx="163">
                  <c:v>0.17843137254248398</c:v>
                </c:pt>
                <c:pt idx="164">
                  <c:v>0.22591822591979116</c:v>
                </c:pt>
                <c:pt idx="165">
                  <c:v>0.2503526093106514</c:v>
                </c:pt>
                <c:pt idx="166">
                  <c:v>0.24368600682593966</c:v>
                </c:pt>
                <c:pt idx="167">
                  <c:v>0.21970705725699013</c:v>
                </c:pt>
                <c:pt idx="168">
                  <c:v>0.14434889434978171</c:v>
                </c:pt>
                <c:pt idx="169">
                  <c:v>2.048517519676496E-2</c:v>
                </c:pt>
                <c:pt idx="170">
                  <c:v>5.4436580838346238E-4</c:v>
                </c:pt>
                <c:pt idx="171">
                  <c:v>1.9607843137254832E-2</c:v>
                </c:pt>
                <c:pt idx="172">
                  <c:v>4.6692607004150011E-2</c:v>
                </c:pt>
                <c:pt idx="173">
                  <c:v>4.273029966148667E-2</c:v>
                </c:pt>
                <c:pt idx="174">
                  <c:v>5.5524079314448471E-2</c:v>
                </c:pt>
                <c:pt idx="175">
                  <c:v>7.5984470333199772E-2</c:v>
                </c:pt>
                <c:pt idx="176">
                  <c:v>0.13397399660901632</c:v>
                </c:pt>
                <c:pt idx="177">
                  <c:v>0.11223914270226709</c:v>
                </c:pt>
                <c:pt idx="178">
                  <c:v>7.5192096591657043E-2</c:v>
                </c:pt>
                <c:pt idx="179">
                  <c:v>8.6790393007638134E-2</c:v>
                </c:pt>
                <c:pt idx="180">
                  <c:v>4.8845947396933154E-2</c:v>
                </c:pt>
                <c:pt idx="181">
                  <c:v>6.7089276286674826E-2</c:v>
                </c:pt>
                <c:pt idx="182">
                  <c:v>0.10010881393416882</c:v>
                </c:pt>
                <c:pt idx="183">
                  <c:v>9.7802197796704737E-2</c:v>
                </c:pt>
                <c:pt idx="184">
                  <c:v>5.7355284121384242E-2</c:v>
                </c:pt>
                <c:pt idx="185">
                  <c:v>3.885045237381024E-2</c:v>
                </c:pt>
                <c:pt idx="186">
                  <c:v>4.6698872791446799E-2</c:v>
                </c:pt>
                <c:pt idx="187">
                  <c:v>2.2680412365980507E-2</c:v>
                </c:pt>
                <c:pt idx="188">
                  <c:v>-4.9850448654312762E-3</c:v>
                </c:pt>
                <c:pt idx="189">
                  <c:v>3.5496957353009506E-3</c:v>
                </c:pt>
                <c:pt idx="190">
                  <c:v>3.5222052067559684E-2</c:v>
                </c:pt>
                <c:pt idx="191">
                  <c:v>3.3651431441655832E-2</c:v>
                </c:pt>
                <c:pt idx="192">
                  <c:v>5.0153531223387615E-2</c:v>
                </c:pt>
                <c:pt idx="193">
                  <c:v>4.1584158410890248E-2</c:v>
                </c:pt>
                <c:pt idx="194">
                  <c:v>0.10237388723540786</c:v>
                </c:pt>
                <c:pt idx="195">
                  <c:v>8.7087087092525994E-2</c:v>
                </c:pt>
                <c:pt idx="196">
                  <c:v>9.392265193417404E-2</c:v>
                </c:pt>
                <c:pt idx="197">
                  <c:v>0.1244877049180344</c:v>
                </c:pt>
                <c:pt idx="198">
                  <c:v>0.12461538461025201</c:v>
                </c:pt>
                <c:pt idx="199">
                  <c:v>9.3245967742407121E-2</c:v>
                </c:pt>
                <c:pt idx="200">
                  <c:v>9.5190380761998261E-2</c:v>
                </c:pt>
                <c:pt idx="201">
                  <c:v>0.11773623042504533</c:v>
                </c:pt>
                <c:pt idx="202">
                  <c:v>0.10009861932988096</c:v>
                </c:pt>
                <c:pt idx="203">
                  <c:v>9.3780369291035059E-2</c:v>
                </c:pt>
                <c:pt idx="204">
                  <c:v>0.10331384015107581</c:v>
                </c:pt>
                <c:pt idx="205">
                  <c:v>0.10313688212976579</c:v>
                </c:pt>
                <c:pt idx="206">
                  <c:v>3.8133692238849104E-2</c:v>
                </c:pt>
                <c:pt idx="207">
                  <c:v>5.9852670349910708E-2</c:v>
                </c:pt>
                <c:pt idx="208">
                  <c:v>7.0707070711989894E-2</c:v>
                </c:pt>
                <c:pt idx="209">
                  <c:v>8.1548974938495E-2</c:v>
                </c:pt>
                <c:pt idx="210">
                  <c:v>8.8007295942039487E-2</c:v>
                </c:pt>
                <c:pt idx="211">
                  <c:v>0.11111111111623195</c:v>
                </c:pt>
                <c:pt idx="212">
                  <c:v>0.1404391582806066</c:v>
                </c:pt>
                <c:pt idx="213">
                  <c:v>0.14556962024864539</c:v>
                </c:pt>
                <c:pt idx="214">
                  <c:v>0.16629314209397839</c:v>
                </c:pt>
                <c:pt idx="215">
                  <c:v>0.168369613510295</c:v>
                </c:pt>
                <c:pt idx="216">
                  <c:v>0.17579505300872755</c:v>
                </c:pt>
                <c:pt idx="217">
                  <c:v>0.2261956053434977</c:v>
                </c:pt>
                <c:pt idx="218">
                  <c:v>0.22860847018248687</c:v>
                </c:pt>
                <c:pt idx="219">
                  <c:v>0.1998262380538629</c:v>
                </c:pt>
                <c:pt idx="220">
                  <c:v>0.20497427101200971</c:v>
                </c:pt>
                <c:pt idx="221">
                  <c:v>0.27211457456306376</c:v>
                </c:pt>
                <c:pt idx="222">
                  <c:v>0.3005029337816405</c:v>
                </c:pt>
                <c:pt idx="223">
                  <c:v>0.36099585062240691</c:v>
                </c:pt>
                <c:pt idx="224">
                  <c:v>0.33894905736196845</c:v>
                </c:pt>
                <c:pt idx="225">
                  <c:v>0.33583267561695496</c:v>
                </c:pt>
                <c:pt idx="226">
                  <c:v>0.34511913912375136</c:v>
                </c:pt>
                <c:pt idx="227">
                  <c:v>0.35703422052851885</c:v>
                </c:pt>
                <c:pt idx="228">
                  <c:v>0.33809166040195282</c:v>
                </c:pt>
                <c:pt idx="229">
                  <c:v>0.28074490513450878</c:v>
                </c:pt>
                <c:pt idx="230">
                  <c:v>0.28315160042308474</c:v>
                </c:pt>
                <c:pt idx="231">
                  <c:v>0.33816075307386328</c:v>
                </c:pt>
                <c:pt idx="232">
                  <c:v>0.33701067615302094</c:v>
                </c:pt>
                <c:pt idx="233">
                  <c:v>0.262582781453643</c:v>
                </c:pt>
                <c:pt idx="234">
                  <c:v>0.24202384788991971</c:v>
                </c:pt>
                <c:pt idx="235">
                  <c:v>0.18323170731402016</c:v>
                </c:pt>
                <c:pt idx="236">
                  <c:v>0.16446974236118783</c:v>
                </c:pt>
                <c:pt idx="237">
                  <c:v>0.16632200885966997</c:v>
                </c:pt>
                <c:pt idx="238">
                  <c:v>0.10685714285428749</c:v>
                </c:pt>
                <c:pt idx="239">
                  <c:v>8.8540207344043109E-2</c:v>
                </c:pt>
                <c:pt idx="240">
                  <c:v>0.14710836608688038</c:v>
                </c:pt>
                <c:pt idx="241">
                  <c:v>0.17640603566255253</c:v>
                </c:pt>
                <c:pt idx="242">
                  <c:v>0.16228070175757003</c:v>
                </c:pt>
                <c:pt idx="243">
                  <c:v>0.15665584415897116</c:v>
                </c:pt>
                <c:pt idx="244">
                  <c:v>0.13468192706983007</c:v>
                </c:pt>
                <c:pt idx="245">
                  <c:v>0.12063991607690006</c:v>
                </c:pt>
                <c:pt idx="246">
                  <c:v>9.159314997429413E-2</c:v>
                </c:pt>
                <c:pt idx="247">
                  <c:v>9.198660139163306E-2</c:v>
                </c:pt>
                <c:pt idx="248">
                  <c:v>9.6989966555432794E-2</c:v>
                </c:pt>
                <c:pt idx="249">
                  <c:v>0.10182370820948194</c:v>
                </c:pt>
                <c:pt idx="250">
                  <c:v>0.13448631905300545</c:v>
                </c:pt>
                <c:pt idx="251">
                  <c:v>0.15006435006177443</c:v>
                </c:pt>
                <c:pt idx="252">
                  <c:v>7.0004288154918104E-2</c:v>
                </c:pt>
                <c:pt idx="253">
                  <c:v>2.3907678315902237E-2</c:v>
                </c:pt>
                <c:pt idx="254">
                  <c:v>4.7701937174266407E-2</c:v>
                </c:pt>
                <c:pt idx="255">
                  <c:v>3.6530772324690153E-2</c:v>
                </c:pt>
                <c:pt idx="256">
                  <c:v>3.9448522565902699E-2</c:v>
                </c:pt>
                <c:pt idx="257">
                  <c:v>3.7015925976694009E-2</c:v>
                </c:pt>
                <c:pt idx="258">
                  <c:v>6.6461816342493041E-2</c:v>
                </c:pt>
                <c:pt idx="259">
                  <c:v>5.5172717975063623E-2</c:v>
                </c:pt>
                <c:pt idx="260">
                  <c:v>5.2205642906362648E-2</c:v>
                </c:pt>
                <c:pt idx="261">
                  <c:v>6.6236645455217014E-2</c:v>
                </c:pt>
                <c:pt idx="262">
                  <c:v>6.4569359456176922E-2</c:v>
                </c:pt>
                <c:pt idx="263">
                  <c:v>5.5447524900752665E-2</c:v>
                </c:pt>
                <c:pt idx="264">
                  <c:v>0.10481825866441352</c:v>
                </c:pt>
                <c:pt idx="265">
                  <c:v>0.10774410774410503</c:v>
                </c:pt>
                <c:pt idx="266">
                  <c:v>0.1006655574043267</c:v>
                </c:pt>
                <c:pt idx="267">
                  <c:v>0.10008340283569694</c:v>
                </c:pt>
                <c:pt idx="268">
                  <c:v>0.10508757297748272</c:v>
                </c:pt>
                <c:pt idx="269">
                  <c:v>0.13261050875730107</c:v>
                </c:pt>
                <c:pt idx="270">
                  <c:v>0.14168039538714661</c:v>
                </c:pt>
                <c:pt idx="271">
                  <c:v>0.17355371900826388</c:v>
                </c:pt>
                <c:pt idx="272">
                  <c:v>0.18780889621087149</c:v>
                </c:pt>
                <c:pt idx="273">
                  <c:v>0.15936254980079445</c:v>
                </c:pt>
                <c:pt idx="274">
                  <c:v>0.15323854660347669</c:v>
                </c:pt>
                <c:pt idx="275">
                  <c:v>0.14106583072100154</c:v>
                </c:pt>
                <c:pt idx="276">
                  <c:v>0.13159908186686753</c:v>
                </c:pt>
                <c:pt idx="277">
                  <c:v>0.13829787234042845</c:v>
                </c:pt>
                <c:pt idx="278">
                  <c:v>0.15721844293272791</c:v>
                </c:pt>
                <c:pt idx="279">
                  <c:v>0.16982562547384594</c:v>
                </c:pt>
                <c:pt idx="280">
                  <c:v>0.17358490566037621</c:v>
                </c:pt>
                <c:pt idx="281">
                  <c:v>0.19072164948453563</c:v>
                </c:pt>
                <c:pt idx="282">
                  <c:v>0.18759018759018775</c:v>
                </c:pt>
                <c:pt idx="283">
                  <c:v>0.2063380281690117</c:v>
                </c:pt>
                <c:pt idx="284">
                  <c:v>0.22052704576976589</c:v>
                </c:pt>
                <c:pt idx="285">
                  <c:v>0.25360824742268306</c:v>
                </c:pt>
                <c:pt idx="286">
                  <c:v>0.28493150684931745</c:v>
                </c:pt>
                <c:pt idx="287">
                  <c:v>0.2980769230769249</c:v>
                </c:pt>
                <c:pt idx="288">
                  <c:v>0.27450980392156965</c:v>
                </c:pt>
                <c:pt idx="289">
                  <c:v>0.26435246995994532</c:v>
                </c:pt>
                <c:pt idx="290">
                  <c:v>0.25342913128674227</c:v>
                </c:pt>
                <c:pt idx="291">
                  <c:v>0.2462734931950743</c:v>
                </c:pt>
                <c:pt idx="292">
                  <c:v>0.25337620578778042</c:v>
                </c:pt>
                <c:pt idx="293">
                  <c:v>0.21892393320964709</c:v>
                </c:pt>
                <c:pt idx="294">
                  <c:v>0.20473876063183583</c:v>
                </c:pt>
                <c:pt idx="295">
                  <c:v>0.27553998832458015</c:v>
                </c:pt>
                <c:pt idx="296">
                  <c:v>0.28863636363636158</c:v>
                </c:pt>
                <c:pt idx="297">
                  <c:v>0.27631578947368229</c:v>
                </c:pt>
                <c:pt idx="298">
                  <c:v>0.23987206823027707</c:v>
                </c:pt>
                <c:pt idx="299">
                  <c:v>0.23068783068783194</c:v>
                </c:pt>
                <c:pt idx="300">
                  <c:v>0.30291777188328983</c:v>
                </c:pt>
                <c:pt idx="301">
                  <c:v>0.37486800422386479</c:v>
                </c:pt>
                <c:pt idx="302">
                  <c:v>0.39864512767065996</c:v>
                </c:pt>
                <c:pt idx="303">
                  <c:v>0.40613624544981786</c:v>
                </c:pt>
                <c:pt idx="304">
                  <c:v>0.39661364802463051</c:v>
                </c:pt>
                <c:pt idx="305">
                  <c:v>0.39573820395738157</c:v>
                </c:pt>
                <c:pt idx="306">
                  <c:v>0.37670196671709433</c:v>
                </c:pt>
                <c:pt idx="307">
                  <c:v>0.26819221967963314</c:v>
                </c:pt>
                <c:pt idx="308">
                  <c:v>0.24338624338624415</c:v>
                </c:pt>
                <c:pt idx="309">
                  <c:v>0.23926116838488132</c:v>
                </c:pt>
                <c:pt idx="310">
                  <c:v>0.23172828890799568</c:v>
                </c:pt>
                <c:pt idx="311">
                  <c:v>0.24118658641444446</c:v>
                </c:pt>
                <c:pt idx="312">
                  <c:v>0.23697068403908705</c:v>
                </c:pt>
                <c:pt idx="313">
                  <c:v>0.20545314900153544</c:v>
                </c:pt>
                <c:pt idx="314">
                  <c:v>0.15648286140089573</c:v>
                </c:pt>
                <c:pt idx="315">
                  <c:v>0.15347633136094574</c:v>
                </c:pt>
                <c:pt idx="316">
                  <c:v>0.17817781043350367</c:v>
                </c:pt>
                <c:pt idx="317">
                  <c:v>0.18902217375499797</c:v>
                </c:pt>
                <c:pt idx="318">
                  <c:v>0.19230769230769273</c:v>
                </c:pt>
                <c:pt idx="319">
                  <c:v>0.19992782389029107</c:v>
                </c:pt>
                <c:pt idx="320">
                  <c:v>0.21418439716311966</c:v>
                </c:pt>
                <c:pt idx="321">
                  <c:v>0.2357019064124779</c:v>
                </c:pt>
                <c:pt idx="322">
                  <c:v>0.32321116928446614</c:v>
                </c:pt>
                <c:pt idx="323">
                  <c:v>0.32040180117769324</c:v>
                </c:pt>
                <c:pt idx="324">
                  <c:v>0.26991441737985666</c:v>
                </c:pt>
                <c:pt idx="325">
                  <c:v>0.27078687480089192</c:v>
                </c:pt>
                <c:pt idx="326">
                  <c:v>0.25032216494845327</c:v>
                </c:pt>
                <c:pt idx="327">
                  <c:v>0.2632253927540873</c:v>
                </c:pt>
                <c:pt idx="328">
                  <c:v>0.22170252572497695</c:v>
                </c:pt>
                <c:pt idx="329">
                  <c:v>0.12809538367471673</c:v>
                </c:pt>
                <c:pt idx="330">
                  <c:v>0.25345622119815681</c:v>
                </c:pt>
                <c:pt idx="331">
                  <c:v>0.24571428571428666</c:v>
                </c:pt>
                <c:pt idx="332">
                  <c:v>0.25992990654205572</c:v>
                </c:pt>
                <c:pt idx="333">
                  <c:v>0.23478260869565282</c:v>
                </c:pt>
                <c:pt idx="334">
                  <c:v>0.16776576101292684</c:v>
                </c:pt>
                <c:pt idx="335">
                  <c:v>0.16946484784889715</c:v>
                </c:pt>
                <c:pt idx="336">
                  <c:v>0.16614826334888533</c:v>
                </c:pt>
                <c:pt idx="337">
                  <c:v>0.15968914514915999</c:v>
                </c:pt>
                <c:pt idx="338">
                  <c:v>0.21437773769647017</c:v>
                </c:pt>
                <c:pt idx="339">
                  <c:v>0.19847715736040628</c:v>
                </c:pt>
                <c:pt idx="340">
                  <c:v>0.23328228688106289</c:v>
                </c:pt>
                <c:pt idx="341">
                  <c:v>0.37804878048780477</c:v>
                </c:pt>
                <c:pt idx="342">
                  <c:v>0.29583333333333361</c:v>
                </c:pt>
                <c:pt idx="343">
                  <c:v>0.32496378561081074</c:v>
                </c:pt>
                <c:pt idx="344">
                  <c:v>0.32035234121464962</c:v>
                </c:pt>
                <c:pt idx="345">
                  <c:v>0.28736937755565717</c:v>
                </c:pt>
                <c:pt idx="346">
                  <c:v>0.29365258640162994</c:v>
                </c:pt>
                <c:pt idx="347">
                  <c:v>0.28532974427994962</c:v>
                </c:pt>
                <c:pt idx="348">
                  <c:v>0.30917981773727354</c:v>
                </c:pt>
                <c:pt idx="349">
                  <c:v>0.32511889321227816</c:v>
                </c:pt>
                <c:pt idx="350">
                  <c:v>0.34521536176532752</c:v>
                </c:pt>
                <c:pt idx="351">
                  <c:v>0.38924184667513551</c:v>
                </c:pt>
                <c:pt idx="352">
                  <c:v>0.39486754966886828</c:v>
                </c:pt>
                <c:pt idx="353">
                  <c:v>0.36873156342183333</c:v>
                </c:pt>
                <c:pt idx="354">
                  <c:v>0.35237374692642609</c:v>
                </c:pt>
                <c:pt idx="355">
                  <c:v>0.34839650145773371</c:v>
                </c:pt>
                <c:pt idx="356">
                  <c:v>0.34655898876405034</c:v>
                </c:pt>
                <c:pt idx="357">
                  <c:v>0.41874007411328651</c:v>
                </c:pt>
                <c:pt idx="358">
                  <c:v>0.41609917932599827</c:v>
                </c:pt>
                <c:pt idx="359">
                  <c:v>0.43106457242582286</c:v>
                </c:pt>
                <c:pt idx="360">
                  <c:v>0.42105263157895223</c:v>
                </c:pt>
                <c:pt idx="361">
                  <c:v>0.39151712887438994</c:v>
                </c:pt>
                <c:pt idx="362">
                  <c:v>0.36908517350157699</c:v>
                </c:pt>
                <c:pt idx="363">
                  <c:v>0.3185975609756091</c:v>
                </c:pt>
                <c:pt idx="364">
                  <c:v>0.29376854599406932</c:v>
                </c:pt>
                <c:pt idx="365">
                  <c:v>0.25287356321838583</c:v>
                </c:pt>
                <c:pt idx="366">
                  <c:v>0.22657342657342516</c:v>
                </c:pt>
                <c:pt idx="367">
                  <c:v>0.20540540540540086</c:v>
                </c:pt>
                <c:pt idx="368">
                  <c:v>0.17601043024771568</c:v>
                </c:pt>
                <c:pt idx="369">
                  <c:v>0.1343283582089525</c:v>
                </c:pt>
                <c:pt idx="370">
                  <c:v>0.13316892725030516</c:v>
                </c:pt>
                <c:pt idx="371">
                  <c:v>0.11829268292683026</c:v>
                </c:pt>
                <c:pt idx="372">
                  <c:v>0.12903225806451313</c:v>
                </c:pt>
                <c:pt idx="373">
                  <c:v>0.13599062133645878</c:v>
                </c:pt>
                <c:pt idx="374">
                  <c:v>0.12096774193548687</c:v>
                </c:pt>
                <c:pt idx="375">
                  <c:v>0.12716763005780751</c:v>
                </c:pt>
                <c:pt idx="376">
                  <c:v>0.13188073394495325</c:v>
                </c:pt>
                <c:pt idx="377">
                  <c:v>0.1479357798165164</c:v>
                </c:pt>
                <c:pt idx="378">
                  <c:v>0.17331812998859397</c:v>
                </c:pt>
                <c:pt idx="379">
                  <c:v>0.16704035874439671</c:v>
                </c:pt>
                <c:pt idx="380">
                  <c:v>0.16740576496673687</c:v>
                </c:pt>
                <c:pt idx="381">
                  <c:v>0.16118421052631748</c:v>
                </c:pt>
                <c:pt idx="382">
                  <c:v>0.16974972796517718</c:v>
                </c:pt>
                <c:pt idx="383">
                  <c:v>0.17775354416575739</c:v>
                </c:pt>
                <c:pt idx="384">
                  <c:v>0.17671957671957705</c:v>
                </c:pt>
                <c:pt idx="385">
                  <c:v>0.17543859649122906</c:v>
                </c:pt>
                <c:pt idx="386">
                  <c:v>0.17985611510791033</c:v>
                </c:pt>
                <c:pt idx="387">
                  <c:v>0.19589743589743613</c:v>
                </c:pt>
                <c:pt idx="388">
                  <c:v>0.19756838905775242</c:v>
                </c:pt>
                <c:pt idx="389">
                  <c:v>0.18581418581418485</c:v>
                </c:pt>
                <c:pt idx="390">
                  <c:v>0.16326530612244983</c:v>
                </c:pt>
                <c:pt idx="391">
                  <c:v>0.16426512968299822</c:v>
                </c:pt>
                <c:pt idx="392">
                  <c:v>0.16524216524216717</c:v>
                </c:pt>
                <c:pt idx="393">
                  <c:v>0.18791312559018158</c:v>
                </c:pt>
                <c:pt idx="394">
                  <c:v>0.19441860465116756</c:v>
                </c:pt>
                <c:pt idx="395">
                  <c:v>0.2037037037037055</c:v>
                </c:pt>
                <c:pt idx="396">
                  <c:v>0.20503597122301986</c:v>
                </c:pt>
                <c:pt idx="397">
                  <c:v>0.21071115013169517</c:v>
                </c:pt>
                <c:pt idx="398">
                  <c:v>0.22386759581881965</c:v>
                </c:pt>
                <c:pt idx="399">
                  <c:v>0.21869639794167961</c:v>
                </c:pt>
                <c:pt idx="400">
                  <c:v>0.20727580372250598</c:v>
                </c:pt>
                <c:pt idx="401">
                  <c:v>0.20893007582139611</c:v>
                </c:pt>
                <c:pt idx="402">
                  <c:v>0.21553884711779459</c:v>
                </c:pt>
                <c:pt idx="403">
                  <c:v>0.21947194719471597</c:v>
                </c:pt>
                <c:pt idx="404">
                  <c:v>0.20863895680521538</c:v>
                </c:pt>
                <c:pt idx="405">
                  <c:v>0.18998410174880798</c:v>
                </c:pt>
                <c:pt idx="406">
                  <c:v>0.18691588785046753</c:v>
                </c:pt>
                <c:pt idx="407">
                  <c:v>0.18307692307692336</c:v>
                </c:pt>
                <c:pt idx="408">
                  <c:v>0.16865671641791291</c:v>
                </c:pt>
                <c:pt idx="409">
                  <c:v>0.14575779550398615</c:v>
                </c:pt>
                <c:pt idx="410">
                  <c:v>0.14306049822063849</c:v>
                </c:pt>
                <c:pt idx="411">
                  <c:v>0.13933849401829823</c:v>
                </c:pt>
                <c:pt idx="412">
                  <c:v>0.14295725297827455</c:v>
                </c:pt>
                <c:pt idx="413">
                  <c:v>0.1491289198606276</c:v>
                </c:pt>
                <c:pt idx="414">
                  <c:v>0.14501718213058412</c:v>
                </c:pt>
                <c:pt idx="415">
                  <c:v>0.12449255751015187</c:v>
                </c:pt>
                <c:pt idx="416">
                  <c:v>0.12272420768712333</c:v>
                </c:pt>
                <c:pt idx="417">
                  <c:v>0.12157648630594409</c:v>
                </c:pt>
                <c:pt idx="418">
                  <c:v>0.10629921259842456</c:v>
                </c:pt>
                <c:pt idx="419">
                  <c:v>0.10533159947984339</c:v>
                </c:pt>
                <c:pt idx="420">
                  <c:v>0.10280970625798158</c:v>
                </c:pt>
                <c:pt idx="421">
                  <c:v>0.11202531645569791</c:v>
                </c:pt>
                <c:pt idx="422">
                  <c:v>0.11083437110834216</c:v>
                </c:pt>
                <c:pt idx="423">
                  <c:v>0.10870907967881194</c:v>
                </c:pt>
                <c:pt idx="424">
                  <c:v>0.10484365419987807</c:v>
                </c:pt>
                <c:pt idx="425">
                  <c:v>9.6422073984232082E-2</c:v>
                </c:pt>
                <c:pt idx="426">
                  <c:v>8.9435774309724936E-2</c:v>
                </c:pt>
                <c:pt idx="427">
                  <c:v>9.6871239470516901E-2</c:v>
                </c:pt>
                <c:pt idx="428">
                  <c:v>9.7897897897897268E-2</c:v>
                </c:pt>
                <c:pt idx="429">
                  <c:v>8.8743299583086133E-2</c:v>
                </c:pt>
                <c:pt idx="430">
                  <c:v>8.7781731909843508E-2</c:v>
                </c:pt>
                <c:pt idx="431">
                  <c:v>8.1764705882352517E-2</c:v>
                </c:pt>
                <c:pt idx="432">
                  <c:v>7.4116965836712234E-2</c:v>
                </c:pt>
                <c:pt idx="433">
                  <c:v>7.5697211155377309E-2</c:v>
                </c:pt>
                <c:pt idx="434">
                  <c:v>8.5762331838566741E-2</c:v>
                </c:pt>
                <c:pt idx="435">
                  <c:v>8.1337047353761127E-2</c:v>
                </c:pt>
                <c:pt idx="436">
                  <c:v>7.3806881243062117E-2</c:v>
                </c:pt>
                <c:pt idx="437">
                  <c:v>7.8539823008849652E-2</c:v>
                </c:pt>
                <c:pt idx="438">
                  <c:v>6.9421487603306797E-2</c:v>
                </c:pt>
                <c:pt idx="439">
                  <c:v>6.2534284147009789E-2</c:v>
                </c:pt>
                <c:pt idx="440">
                  <c:v>5.8533916849013989E-2</c:v>
                </c:pt>
                <c:pt idx="441">
                  <c:v>5.7986870897153819E-2</c:v>
                </c:pt>
                <c:pt idx="442">
                  <c:v>5.5616139585606073E-2</c:v>
                </c:pt>
                <c:pt idx="443">
                  <c:v>6.1990212071777684E-2</c:v>
                </c:pt>
                <c:pt idx="444">
                  <c:v>6.7924528301884779E-2</c:v>
                </c:pt>
                <c:pt idx="445">
                  <c:v>6.9841269841268705E-2</c:v>
                </c:pt>
                <c:pt idx="446">
                  <c:v>6.6081569437275167E-2</c:v>
                </c:pt>
                <c:pt idx="447">
                  <c:v>8.4492529623904966E-2</c:v>
                </c:pt>
                <c:pt idx="448">
                  <c:v>0.11679586563307653</c:v>
                </c:pt>
                <c:pt idx="449">
                  <c:v>0.10820512820513106</c:v>
                </c:pt>
                <c:pt idx="450">
                  <c:v>0.11798042246264706</c:v>
                </c:pt>
                <c:pt idx="451">
                  <c:v>0.13577697470314942</c:v>
                </c:pt>
                <c:pt idx="452">
                  <c:v>0.14987080103359252</c:v>
                </c:pt>
                <c:pt idx="453">
                  <c:v>0.16028955532575018</c:v>
                </c:pt>
                <c:pt idx="454">
                  <c:v>0.15960743801652932</c:v>
                </c:pt>
                <c:pt idx="455">
                  <c:v>0.14644137224782439</c:v>
                </c:pt>
                <c:pt idx="456">
                  <c:v>0.13377082281675978</c:v>
                </c:pt>
                <c:pt idx="457">
                  <c:v>0.11473788328387968</c:v>
                </c:pt>
                <c:pt idx="458">
                  <c:v>9.3462469733653908E-2</c:v>
                </c:pt>
                <c:pt idx="459">
                  <c:v>7.6484560570070803E-2</c:v>
                </c:pt>
                <c:pt idx="460">
                  <c:v>4.3961129106892427E-2</c:v>
                </c:pt>
                <c:pt idx="461">
                  <c:v>4.4423877834333547E-2</c:v>
                </c:pt>
                <c:pt idx="462">
                  <c:v>6.6820276497696174E-2</c:v>
                </c:pt>
                <c:pt idx="463">
                  <c:v>5.9090909090907973E-2</c:v>
                </c:pt>
                <c:pt idx="464">
                  <c:v>4.6741573033706407E-2</c:v>
                </c:pt>
                <c:pt idx="465">
                  <c:v>4.3226381461675789E-2</c:v>
                </c:pt>
                <c:pt idx="466">
                  <c:v>4.6325167037862824E-2</c:v>
                </c:pt>
                <c:pt idx="467">
                  <c:v>5.4041983028137786E-2</c:v>
                </c:pt>
                <c:pt idx="468">
                  <c:v>6.4113980409617355E-2</c:v>
                </c:pt>
                <c:pt idx="469">
                  <c:v>7.5421472936998857E-2</c:v>
                </c:pt>
                <c:pt idx="470">
                  <c:v>9.5659875996457311E-2</c:v>
                </c:pt>
                <c:pt idx="471">
                  <c:v>0.10105913503971675</c:v>
                </c:pt>
                <c:pt idx="472">
                  <c:v>0.11037234042553323</c:v>
                </c:pt>
                <c:pt idx="473">
                  <c:v>0.10323438192290868</c:v>
                </c:pt>
                <c:pt idx="474">
                  <c:v>7.8185745140388008E-2</c:v>
                </c:pt>
                <c:pt idx="475">
                  <c:v>7.8111587982834241E-2</c:v>
                </c:pt>
                <c:pt idx="476">
                  <c:v>9.4461142121082808E-2</c:v>
                </c:pt>
                <c:pt idx="477">
                  <c:v>9.5258436565568871E-2</c:v>
                </c:pt>
                <c:pt idx="478">
                  <c:v>9.578544061302563E-2</c:v>
                </c:pt>
                <c:pt idx="479">
                  <c:v>8.6440677966100887E-2</c:v>
                </c:pt>
                <c:pt idx="480">
                  <c:v>8.8702928870292741E-2</c:v>
                </c:pt>
                <c:pt idx="481">
                  <c:v>8.0445544554456072E-2</c:v>
                </c:pt>
                <c:pt idx="482">
                  <c:v>7.8011317704123284E-2</c:v>
                </c:pt>
                <c:pt idx="483">
                  <c:v>7.8156312625251134E-2</c:v>
                </c:pt>
                <c:pt idx="484">
                  <c:v>6.6666666666666874E-2</c:v>
                </c:pt>
                <c:pt idx="485">
                  <c:v>6.6666666666666652E-2</c:v>
                </c:pt>
                <c:pt idx="486">
                  <c:v>6.8509615384615863E-2</c:v>
                </c:pt>
                <c:pt idx="487">
                  <c:v>7.2054140127387756E-2</c:v>
                </c:pt>
                <c:pt idx="488">
                  <c:v>6.3946645743428565E-2</c:v>
                </c:pt>
                <c:pt idx="489">
                  <c:v>6.2402496099845717E-2</c:v>
                </c:pt>
                <c:pt idx="490">
                  <c:v>6.4102564102564097E-2</c:v>
                </c:pt>
                <c:pt idx="491">
                  <c:v>8.3853354134165725E-2</c:v>
                </c:pt>
                <c:pt idx="492">
                  <c:v>7.7726491277567256E-2</c:v>
                </c:pt>
                <c:pt idx="493">
                  <c:v>7.0730939405968307E-2</c:v>
                </c:pt>
                <c:pt idx="494">
                  <c:v>6.5526548414952757E-2</c:v>
                </c:pt>
                <c:pt idx="495">
                  <c:v>6.1645881037954542E-2</c:v>
                </c:pt>
                <c:pt idx="496">
                  <c:v>6.7042682710437118E-2</c:v>
                </c:pt>
                <c:pt idx="497">
                  <c:v>9.4657571415650121E-2</c:v>
                </c:pt>
                <c:pt idx="498">
                  <c:v>0.1182753874453959</c:v>
                </c:pt>
                <c:pt idx="499">
                  <c:v>0.13359860199181917</c:v>
                </c:pt>
                <c:pt idx="500">
                  <c:v>0.13776055962117106</c:v>
                </c:pt>
                <c:pt idx="501">
                  <c:v>0.13791290494200847</c:v>
                </c:pt>
                <c:pt idx="502">
                  <c:v>0.14537777560441079</c:v>
                </c:pt>
                <c:pt idx="503">
                  <c:v>0.1457659033028238</c:v>
                </c:pt>
                <c:pt idx="504">
                  <c:v>0.18060200668896198</c:v>
                </c:pt>
                <c:pt idx="505">
                  <c:v>0.20234113712374424</c:v>
                </c:pt>
                <c:pt idx="506">
                  <c:v>0.20132013201320254</c:v>
                </c:pt>
                <c:pt idx="507">
                  <c:v>0.20853858784893298</c:v>
                </c:pt>
                <c:pt idx="508">
                  <c:v>0.19736842105263364</c:v>
                </c:pt>
                <c:pt idx="509">
                  <c:v>0.15645161290322585</c:v>
                </c:pt>
                <c:pt idx="510">
                  <c:v>0.1194968553459117</c:v>
                </c:pt>
                <c:pt idx="511">
                  <c:v>9.2165898617511344E-2</c:v>
                </c:pt>
                <c:pt idx="512">
                  <c:v>8.2066869300910339E-2</c:v>
                </c:pt>
                <c:pt idx="513">
                  <c:v>9.833585476550577E-2</c:v>
                </c:pt>
                <c:pt idx="514">
                  <c:v>0.10014947683109132</c:v>
                </c:pt>
                <c:pt idx="515">
                  <c:v>9.4256259204713144E-2</c:v>
                </c:pt>
                <c:pt idx="516">
                  <c:v>5.5240793201132732E-2</c:v>
                </c:pt>
                <c:pt idx="517">
                  <c:v>3.7552155771905626E-2</c:v>
                </c:pt>
                <c:pt idx="518">
                  <c:v>3.0219780219779668E-2</c:v>
                </c:pt>
                <c:pt idx="519">
                  <c:v>1.6304347826086474E-2</c:v>
                </c:pt>
                <c:pt idx="520">
                  <c:v>3.0219780219779668E-2</c:v>
                </c:pt>
                <c:pt idx="521">
                  <c:v>5.5788005578800481E-2</c:v>
                </c:pt>
                <c:pt idx="522">
                  <c:v>6.4606741573033366E-2</c:v>
                </c:pt>
                <c:pt idx="523">
                  <c:v>8.1575246132207235E-2</c:v>
                </c:pt>
                <c:pt idx="524">
                  <c:v>6.6011235955056202E-2</c:v>
                </c:pt>
                <c:pt idx="525">
                  <c:v>3.5812672176308347E-2</c:v>
                </c:pt>
                <c:pt idx="526">
                  <c:v>2.0380434782609536E-2</c:v>
                </c:pt>
                <c:pt idx="527">
                  <c:v>2.8263795423957516E-2</c:v>
                </c:pt>
                <c:pt idx="528">
                  <c:v>3.2214765100671672E-2</c:v>
                </c:pt>
                <c:pt idx="529">
                  <c:v>3.6193029490616757E-2</c:v>
                </c:pt>
                <c:pt idx="530">
                  <c:v>4.2666666666665964E-2</c:v>
                </c:pt>
                <c:pt idx="531">
                  <c:v>5.8823529411764941E-2</c:v>
                </c:pt>
                <c:pt idx="532">
                  <c:v>7.2000000000000286E-2</c:v>
                </c:pt>
                <c:pt idx="533">
                  <c:v>6.0766182298546578E-2</c:v>
                </c:pt>
                <c:pt idx="534">
                  <c:v>6.4643799472296593E-2</c:v>
                </c:pt>
                <c:pt idx="535">
                  <c:v>4.8114434330299272E-2</c:v>
                </c:pt>
                <c:pt idx="536">
                  <c:v>7.5098814229249244E-2</c:v>
                </c:pt>
                <c:pt idx="537">
                  <c:v>0.10372340425531967</c:v>
                </c:pt>
                <c:pt idx="538">
                  <c:v>0.12383488681757626</c:v>
                </c:pt>
                <c:pt idx="539">
                  <c:v>9.8167539267014936E-2</c:v>
                </c:pt>
                <c:pt idx="540">
                  <c:v>0.10663198959687992</c:v>
                </c:pt>
                <c:pt idx="541">
                  <c:v>0.11254851228978024</c:v>
                </c:pt>
                <c:pt idx="542">
                  <c:v>0.11636828644501329</c:v>
                </c:pt>
                <c:pt idx="543">
                  <c:v>0.10732323232323338</c:v>
                </c:pt>
                <c:pt idx="544">
                  <c:v>8.7064676616915415E-2</c:v>
                </c:pt>
                <c:pt idx="545">
                  <c:v>8.343711083437122E-2</c:v>
                </c:pt>
                <c:pt idx="546">
                  <c:v>7.5588599752167696E-2</c:v>
                </c:pt>
                <c:pt idx="547">
                  <c:v>7.9404466501241E-2</c:v>
                </c:pt>
                <c:pt idx="548">
                  <c:v>8.3333333333333925E-2</c:v>
                </c:pt>
                <c:pt idx="549">
                  <c:v>8.6746987951806576E-2</c:v>
                </c:pt>
                <c:pt idx="550">
                  <c:v>8.8862559241705608E-2</c:v>
                </c:pt>
                <c:pt idx="551">
                  <c:v>0.12514898688915443</c:v>
                </c:pt>
                <c:pt idx="552">
                  <c:v>9.7532314923619134E-2</c:v>
                </c:pt>
                <c:pt idx="553">
                  <c:v>8.2558139534884223E-2</c:v>
                </c:pt>
                <c:pt idx="554">
                  <c:v>5.6128293241695104E-2</c:v>
                </c:pt>
                <c:pt idx="555">
                  <c:v>6.1573546180159866E-2</c:v>
                </c:pt>
                <c:pt idx="556">
                  <c:v>7.0938215102974267E-2</c:v>
                </c:pt>
                <c:pt idx="557">
                  <c:v>6.8965517241379226E-2</c:v>
                </c:pt>
                <c:pt idx="558">
                  <c:v>7.4884792626728869E-2</c:v>
                </c:pt>
                <c:pt idx="559">
                  <c:v>0.10919540229884994</c:v>
                </c:pt>
                <c:pt idx="560">
                  <c:v>0.1018099547511313</c:v>
                </c:pt>
                <c:pt idx="561">
                  <c:v>0.11973392461197396</c:v>
                </c:pt>
                <c:pt idx="562">
                  <c:v>7.3993471164309765E-2</c:v>
                </c:pt>
                <c:pt idx="563">
                  <c:v>5.9322033898304927E-2</c:v>
                </c:pt>
                <c:pt idx="564">
                  <c:v>8.7794432548179424E-2</c:v>
                </c:pt>
                <c:pt idx="565">
                  <c:v>0.10526315789473584</c:v>
                </c:pt>
                <c:pt idx="566">
                  <c:v>0.12364425162689829</c:v>
                </c:pt>
                <c:pt idx="567">
                  <c:v>0.12137486573576761</c:v>
                </c:pt>
                <c:pt idx="568">
                  <c:v>0.11324786324786307</c:v>
                </c:pt>
                <c:pt idx="569">
                  <c:v>0.13333333333333353</c:v>
                </c:pt>
                <c:pt idx="570">
                  <c:v>0.13504823151125378</c:v>
                </c:pt>
                <c:pt idx="571">
                  <c:v>0.10362694300518149</c:v>
                </c:pt>
                <c:pt idx="572">
                  <c:v>9.0349075975358462E-2</c:v>
                </c:pt>
                <c:pt idx="573">
                  <c:v>5.445544554455406E-2</c:v>
                </c:pt>
                <c:pt idx="574">
                  <c:v>8.3080040526848586E-2</c:v>
                </c:pt>
                <c:pt idx="575">
                  <c:v>7.4999999999999512E-2</c:v>
                </c:pt>
                <c:pt idx="576">
                  <c:v>5.9055118110236116E-2</c:v>
                </c:pt>
                <c:pt idx="577">
                  <c:v>4.2759961127308399E-2</c:v>
                </c:pt>
                <c:pt idx="578">
                  <c:v>3.3783783783784216E-2</c:v>
                </c:pt>
                <c:pt idx="579">
                  <c:v>2.0114942528734803E-2</c:v>
                </c:pt>
                <c:pt idx="580">
                  <c:v>2.207293666026855E-2</c:v>
                </c:pt>
                <c:pt idx="581">
                  <c:v>1.8975332068311257E-2</c:v>
                </c:pt>
                <c:pt idx="582">
                  <c:v>1.1331444759207443E-2</c:v>
                </c:pt>
                <c:pt idx="583">
                  <c:v>1.5962441314554043E-2</c:v>
                </c:pt>
                <c:pt idx="584">
                  <c:v>2.2598870056497411E-2</c:v>
                </c:pt>
                <c:pt idx="585">
                  <c:v>2.8169014084507005E-2</c:v>
                </c:pt>
                <c:pt idx="586">
                  <c:v>1.9644527595884309E-2</c:v>
                </c:pt>
                <c:pt idx="587">
                  <c:v>1.8604651162790642E-2</c:v>
                </c:pt>
                <c:pt idx="588">
                  <c:v>2.7881040892193232E-2</c:v>
                </c:pt>
                <c:pt idx="589">
                  <c:v>2.9822926374650116E-2</c:v>
                </c:pt>
                <c:pt idx="590">
                  <c:v>4.1083099906628506E-2</c:v>
                </c:pt>
                <c:pt idx="591">
                  <c:v>5.5399061032864738E-2</c:v>
                </c:pt>
                <c:pt idx="592">
                  <c:v>4.5070422535211652E-2</c:v>
                </c:pt>
                <c:pt idx="593">
                  <c:v>4.2830540037243514E-2</c:v>
                </c:pt>
                <c:pt idx="594">
                  <c:v>4.6685340802987918E-2</c:v>
                </c:pt>
                <c:pt idx="595">
                  <c:v>4.5286506469503607E-2</c:v>
                </c:pt>
                <c:pt idx="596">
                  <c:v>3.7753222836095945E-2</c:v>
                </c:pt>
                <c:pt idx="597">
                  <c:v>5.2054794520550285E-2</c:v>
                </c:pt>
                <c:pt idx="598">
                  <c:v>6.1467889908255025E-2</c:v>
                </c:pt>
                <c:pt idx="599">
                  <c:v>7.2146118721466257E-2</c:v>
                </c:pt>
                <c:pt idx="600">
                  <c:v>7.775768535262606E-2</c:v>
                </c:pt>
                <c:pt idx="601">
                  <c:v>9.5022624434392577E-2</c:v>
                </c:pt>
                <c:pt idx="602">
                  <c:v>0.10313901345291421</c:v>
                </c:pt>
                <c:pt idx="603">
                  <c:v>9.0747330960849526E-2</c:v>
                </c:pt>
                <c:pt idx="604">
                  <c:v>0.10152740341419175</c:v>
                </c:pt>
                <c:pt idx="605">
                  <c:v>8.8392857142860048E-2</c:v>
                </c:pt>
                <c:pt idx="606">
                  <c:v>8.7421944692241516E-2</c:v>
                </c:pt>
                <c:pt idx="607">
                  <c:v>8.8417329796639965E-2</c:v>
                </c:pt>
                <c:pt idx="608">
                  <c:v>9.4055013309670477E-2</c:v>
                </c:pt>
                <c:pt idx="609">
                  <c:v>6.1631944444438869E-2</c:v>
                </c:pt>
                <c:pt idx="610">
                  <c:v>5.6179775280903232E-2</c:v>
                </c:pt>
                <c:pt idx="611">
                  <c:v>4.9403747870519599E-2</c:v>
                </c:pt>
                <c:pt idx="612">
                  <c:v>4.4463087248317157E-2</c:v>
                </c:pt>
                <c:pt idx="613">
                  <c:v>4.4628099173551927E-2</c:v>
                </c:pt>
                <c:pt idx="614">
                  <c:v>3.2520325203253986E-2</c:v>
                </c:pt>
                <c:pt idx="615">
                  <c:v>3.3442088091359068E-2</c:v>
                </c:pt>
                <c:pt idx="616">
                  <c:v>3.7520391517130713E-2</c:v>
                </c:pt>
                <c:pt idx="617">
                  <c:v>3.9376538146019824E-2</c:v>
                </c:pt>
                <c:pt idx="618">
                  <c:v>4.0196882690731517E-2</c:v>
                </c:pt>
                <c:pt idx="619">
                  <c:v>2.7619821283511259E-2</c:v>
                </c:pt>
                <c:pt idx="620">
                  <c:v>2.7575020275752316E-2</c:v>
                </c:pt>
                <c:pt idx="621">
                  <c:v>3.3524121013905228E-2</c:v>
                </c:pt>
                <c:pt idx="622">
                  <c:v>4.0916530278227725E-2</c:v>
                </c:pt>
                <c:pt idx="623">
                  <c:v>3.9772727272729069E-2</c:v>
                </c:pt>
                <c:pt idx="624">
                  <c:v>4.0963855421685347E-2</c:v>
                </c:pt>
                <c:pt idx="625">
                  <c:v>1.7405063291141554E-2</c:v>
                </c:pt>
                <c:pt idx="626">
                  <c:v>1.1811023622046779E-2</c:v>
                </c:pt>
                <c:pt idx="627">
                  <c:v>1.5785319652719343E-2</c:v>
                </c:pt>
                <c:pt idx="628">
                  <c:v>8.6477987421440528E-3</c:v>
                </c:pt>
                <c:pt idx="629">
                  <c:v>1.7363851617997472E-2</c:v>
                </c:pt>
                <c:pt idx="630">
                  <c:v>2.2082018927437996E-2</c:v>
                </c:pt>
                <c:pt idx="631">
                  <c:v>3.0830039525690411E-2</c:v>
                </c:pt>
                <c:pt idx="632">
                  <c:v>3.2359905288077861E-2</c:v>
                </c:pt>
                <c:pt idx="633">
                  <c:v>4.3512658227849554E-2</c:v>
                </c:pt>
                <c:pt idx="634">
                  <c:v>4.4025157232708834E-2</c:v>
                </c:pt>
                <c:pt idx="635">
                  <c:v>3.7470725995314869E-2</c:v>
                </c:pt>
                <c:pt idx="636">
                  <c:v>3.9351851851850528E-2</c:v>
                </c:pt>
                <c:pt idx="637">
                  <c:v>5.4432348367030148E-2</c:v>
                </c:pt>
                <c:pt idx="638">
                  <c:v>6.070038910505593E-2</c:v>
                </c:pt>
                <c:pt idx="639">
                  <c:v>6.3714063714064295E-2</c:v>
                </c:pt>
                <c:pt idx="640">
                  <c:v>7.0148090413091557E-2</c:v>
                </c:pt>
                <c:pt idx="641">
                  <c:v>6.3615205585725754E-2</c:v>
                </c:pt>
                <c:pt idx="642">
                  <c:v>5.4783950617287802E-2</c:v>
                </c:pt>
                <c:pt idx="643">
                  <c:v>4.4478527607362928E-2</c:v>
                </c:pt>
                <c:pt idx="644">
                  <c:v>4.1284403669731962E-2</c:v>
                </c:pt>
                <c:pt idx="645">
                  <c:v>3.4874905231237152E-2</c:v>
                </c:pt>
                <c:pt idx="646">
                  <c:v>3.5391566265056129E-2</c:v>
                </c:pt>
                <c:pt idx="647">
                  <c:v>4.2136945071486576E-2</c:v>
                </c:pt>
                <c:pt idx="648">
                  <c:v>3.4149962880476892E-2</c:v>
                </c:pt>
                <c:pt idx="649">
                  <c:v>3.244837758111685E-2</c:v>
                </c:pt>
                <c:pt idx="650">
                  <c:v>2.6412325752016796E-2</c:v>
                </c:pt>
                <c:pt idx="651">
                  <c:v>2.0452885317752356E-2</c:v>
                </c:pt>
                <c:pt idx="652">
                  <c:v>3.2774945375089848E-2</c:v>
                </c:pt>
                <c:pt idx="653">
                  <c:v>2.4799416484311498E-2</c:v>
                </c:pt>
                <c:pt idx="654">
                  <c:v>3.5844915874178263E-2</c:v>
                </c:pt>
                <c:pt idx="655">
                  <c:v>3.8913362701904486E-2</c:v>
                </c:pt>
                <c:pt idx="656">
                  <c:v>3.7444933920703249E-2</c:v>
                </c:pt>
                <c:pt idx="657">
                  <c:v>3.2234432234428123E-2</c:v>
                </c:pt>
                <c:pt idx="658">
                  <c:v>2.9090909090910611E-2</c:v>
                </c:pt>
                <c:pt idx="659">
                  <c:v>3.104693140794379E-2</c:v>
                </c:pt>
                <c:pt idx="660">
                  <c:v>5.168700646088209E-2</c:v>
                </c:pt>
                <c:pt idx="661">
                  <c:v>5.1428571428569381E-2</c:v>
                </c:pt>
                <c:pt idx="662">
                  <c:v>4.7176554681922056E-2</c:v>
                </c:pt>
                <c:pt idx="663">
                  <c:v>4.5096635647815075E-2</c:v>
                </c:pt>
                <c:pt idx="664">
                  <c:v>3.4555712270805339E-2</c:v>
                </c:pt>
                <c:pt idx="665">
                  <c:v>4.6975088967977863E-2</c:v>
                </c:pt>
                <c:pt idx="666">
                  <c:v>2.8954802259883339E-2</c:v>
                </c:pt>
                <c:pt idx="667">
                  <c:v>3.180212014134165E-2</c:v>
                </c:pt>
                <c:pt idx="668">
                  <c:v>3.5385704175509014E-2</c:v>
                </c:pt>
                <c:pt idx="669">
                  <c:v>3.6195883605392609E-2</c:v>
                </c:pt>
                <c:pt idx="670">
                  <c:v>4.24028268551222E-2</c:v>
                </c:pt>
                <c:pt idx="671">
                  <c:v>3.9215686274505668E-2</c:v>
                </c:pt>
                <c:pt idx="672">
                  <c:v>1.9112627986342279E-2</c:v>
                </c:pt>
                <c:pt idx="673">
                  <c:v>2.3097826086958317E-2</c:v>
                </c:pt>
                <c:pt idx="674">
                  <c:v>2.7986348122863047E-2</c:v>
                </c:pt>
                <c:pt idx="675">
                  <c:v>3.6301369863017685E-2</c:v>
                </c:pt>
                <c:pt idx="676">
                  <c:v>3.4083162917514898E-2</c:v>
                </c:pt>
                <c:pt idx="677">
                  <c:v>2.9231815091768087E-2</c:v>
                </c:pt>
                <c:pt idx="678">
                  <c:v>3.9807824296499872E-2</c:v>
                </c:pt>
                <c:pt idx="679">
                  <c:v>4.0410958904109728E-2</c:v>
                </c:pt>
                <c:pt idx="680">
                  <c:v>4.9315068493150482E-2</c:v>
                </c:pt>
                <c:pt idx="681">
                  <c:v>4.6101694915254399E-2</c:v>
                </c:pt>
                <c:pt idx="682">
                  <c:v>4.514824797843664E-2</c:v>
                </c:pt>
              </c:numCache>
            </c:numRef>
          </c:val>
          <c:smooth val="0"/>
          <c:extLst>
            <c:ext xmlns:c16="http://schemas.microsoft.com/office/drawing/2014/chart" uri="{C3380CC4-5D6E-409C-BE32-E72D297353CC}">
              <c16:uniqueId val="{00000000-68B2-4802-B183-5DB86DACD1A1}"/>
            </c:ext>
          </c:extLst>
        </c:ser>
        <c:dLbls>
          <c:showLegendKey val="0"/>
          <c:showVal val="0"/>
          <c:showCatName val="0"/>
          <c:showSerName val="0"/>
          <c:showPercent val="0"/>
          <c:showBubbleSize val="0"/>
        </c:dLbls>
        <c:smooth val="0"/>
        <c:axId val="2125719280"/>
        <c:axId val="2125716288"/>
      </c:lineChart>
      <c:dateAx>
        <c:axId val="2125719280"/>
        <c:scaling>
          <c:orientation val="minMax"/>
        </c:scaling>
        <c:delete val="0"/>
        <c:axPos val="b"/>
        <c:numFmt formatCode="mmm\-yy" sourceLinked="1"/>
        <c:majorTickMark val="out"/>
        <c:minorTickMark val="none"/>
        <c:tickLblPos val="low"/>
        <c:txPr>
          <a:bodyPr rot="-5400000" vert="horz"/>
          <a:lstStyle/>
          <a:p>
            <a:pPr>
              <a:defRPr sz="800"/>
            </a:pPr>
            <a:endParaRPr lang="en-US"/>
          </a:p>
        </c:txPr>
        <c:crossAx val="2125716288"/>
        <c:crosses val="autoZero"/>
        <c:auto val="1"/>
        <c:lblOffset val="100"/>
        <c:baseTimeUnit val="months"/>
      </c:dateAx>
      <c:valAx>
        <c:axId val="2125716288"/>
        <c:scaling>
          <c:orientation val="minMax"/>
        </c:scaling>
        <c:delete val="0"/>
        <c:axPos val="l"/>
        <c:numFmt formatCode="0%" sourceLinked="0"/>
        <c:majorTickMark val="out"/>
        <c:minorTickMark val="none"/>
        <c:tickLblPos val="nextTo"/>
        <c:txPr>
          <a:bodyPr/>
          <a:lstStyle/>
          <a:p>
            <a:pPr>
              <a:defRPr sz="800"/>
            </a:pPr>
            <a:endParaRPr lang="en-US"/>
          </a:p>
        </c:txPr>
        <c:crossAx val="2125719280"/>
        <c:crosses val="autoZero"/>
        <c:crossBetween val="between"/>
      </c:valAx>
    </c:plotArea>
    <c:plotVisOnly val="1"/>
    <c:dispBlanksAs val="gap"/>
    <c:showDLblsOverMax val="0"/>
  </c:chart>
  <c:spPr>
    <a:ln>
      <a:noFill/>
    </a:ln>
  </c:spPr>
  <c:txPr>
    <a:bodyPr/>
    <a:lstStyle/>
    <a:p>
      <a:pPr>
        <a:defRPr>
          <a:latin typeface="Humanst521 BT" panose="020B0602020204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8881477003993E-2"/>
          <c:y val="2.4003085970003699E-2"/>
          <c:w val="0.84845678645228995"/>
          <c:h val="0.951993828059993"/>
        </c:manualLayout>
      </c:layout>
      <c:lineChart>
        <c:grouping val="standard"/>
        <c:varyColors val="0"/>
        <c:ser>
          <c:idx val="0"/>
          <c:order val="0"/>
          <c:tx>
            <c:v>Balanza Comercial</c:v>
          </c:tx>
          <c:cat>
            <c:numRef>
              <c:f>Base_BOP!$B$18:$B$32</c:f>
              <c:numCache>
                <c:formatCode>General</c:formatCode>
                <c:ptCount val="15"/>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numCache>
            </c:numRef>
          </c:cat>
          <c:val>
            <c:numRef>
              <c:f>Base_BOP!$D$18:$D$32</c:f>
              <c:numCache>
                <c:formatCode>0</c:formatCode>
                <c:ptCount val="15"/>
                <c:pt idx="0">
                  <c:v>-25.286999999999999</c:v>
                </c:pt>
                <c:pt idx="1">
                  <c:v>-50.896999999999998</c:v>
                </c:pt>
                <c:pt idx="2">
                  <c:v>-53.957000000000001</c:v>
                </c:pt>
                <c:pt idx="3">
                  <c:v>-80.69</c:v>
                </c:pt>
                <c:pt idx="4">
                  <c:v>-150.53899999999999</c:v>
                </c:pt>
                <c:pt idx="5">
                  <c:v>-192.624</c:v>
                </c:pt>
                <c:pt idx="6">
                  <c:v>-275.04000000000002</c:v>
                </c:pt>
                <c:pt idx="7">
                  <c:v>-373.92399999999998</c:v>
                </c:pt>
                <c:pt idx="8">
                  <c:v>-315.08699999999999</c:v>
                </c:pt>
                <c:pt idx="9">
                  <c:v>-253.858</c:v>
                </c:pt>
                <c:pt idx="10">
                  <c:v>-201.95699999999999</c:v>
                </c:pt>
                <c:pt idx="11">
                  <c:v>-107.06100000000001</c:v>
                </c:pt>
                <c:pt idx="12">
                  <c:v>-162.43700000000001</c:v>
                </c:pt>
                <c:pt idx="13">
                  <c:v>-97.21</c:v>
                </c:pt>
                <c:pt idx="14">
                  <c:v>68.745999999999995</c:v>
                </c:pt>
              </c:numCache>
            </c:numRef>
          </c:val>
          <c:smooth val="0"/>
          <c:extLst>
            <c:ext xmlns:c16="http://schemas.microsoft.com/office/drawing/2014/chart" uri="{C3380CC4-5D6E-409C-BE32-E72D297353CC}">
              <c16:uniqueId val="{00000000-0958-4163-BEDA-5C7C61D5D56E}"/>
            </c:ext>
          </c:extLst>
        </c:ser>
        <c:ser>
          <c:idx val="1"/>
          <c:order val="1"/>
          <c:tx>
            <c:v>Entrada de Capitales</c:v>
          </c:tx>
          <c:cat>
            <c:numRef>
              <c:f>Base_BOP!$B$18:$B$32</c:f>
              <c:numCache>
                <c:formatCode>General</c:formatCode>
                <c:ptCount val="15"/>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numCache>
            </c:numRef>
          </c:cat>
          <c:val>
            <c:numRef>
              <c:f>Base_BOP!$G$18:$G$32</c:f>
              <c:numCache>
                <c:formatCode>0</c:formatCode>
                <c:ptCount val="15"/>
                <c:pt idx="0">
                  <c:v>83.959000000000003</c:v>
                </c:pt>
                <c:pt idx="1">
                  <c:v>100.491</c:v>
                </c:pt>
                <c:pt idx="2">
                  <c:v>124.994</c:v>
                </c:pt>
                <c:pt idx="3">
                  <c:v>227.57599999999999</c:v>
                </c:pt>
                <c:pt idx="4">
                  <c:v>328</c:v>
                </c:pt>
                <c:pt idx="5">
                  <c:v>343.83</c:v>
                </c:pt>
                <c:pt idx="6">
                  <c:v>378.62</c:v>
                </c:pt>
                <c:pt idx="7">
                  <c:v>393.30500000000001</c:v>
                </c:pt>
                <c:pt idx="8">
                  <c:v>267.33499999999998</c:v>
                </c:pt>
                <c:pt idx="9">
                  <c:v>77.724000000000004</c:v>
                </c:pt>
                <c:pt idx="10">
                  <c:v>67.17</c:v>
                </c:pt>
                <c:pt idx="11">
                  <c:v>-2.2410000000000001</c:v>
                </c:pt>
                <c:pt idx="12">
                  <c:v>-129.934</c:v>
                </c:pt>
                <c:pt idx="13">
                  <c:v>190.06899999999999</c:v>
                </c:pt>
                <c:pt idx="14">
                  <c:v>-18.489000000000001</c:v>
                </c:pt>
              </c:numCache>
            </c:numRef>
          </c:val>
          <c:smooth val="0"/>
          <c:extLst>
            <c:ext xmlns:c16="http://schemas.microsoft.com/office/drawing/2014/chart" uri="{C3380CC4-5D6E-409C-BE32-E72D297353CC}">
              <c16:uniqueId val="{00000001-0958-4163-BEDA-5C7C61D5D56E}"/>
            </c:ext>
          </c:extLst>
        </c:ser>
        <c:ser>
          <c:idx val="2"/>
          <c:order val="2"/>
          <c:tx>
            <c:v>Balanza de Pagos</c:v>
          </c:tx>
          <c:cat>
            <c:numRef>
              <c:f>Base_BOP!$B$18:$B$32</c:f>
              <c:numCache>
                <c:formatCode>General</c:formatCode>
                <c:ptCount val="15"/>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numCache>
            </c:numRef>
          </c:cat>
          <c:val>
            <c:numRef>
              <c:f>Base_BOP!$P$18:$P$32</c:f>
              <c:numCache>
                <c:formatCode>0</c:formatCode>
                <c:ptCount val="15"/>
                <c:pt idx="0">
                  <c:v>39.06</c:v>
                </c:pt>
                <c:pt idx="1">
                  <c:v>31.79</c:v>
                </c:pt>
                <c:pt idx="2">
                  <c:v>50.85</c:v>
                </c:pt>
                <c:pt idx="3">
                  <c:v>106.35</c:v>
                </c:pt>
                <c:pt idx="4">
                  <c:v>169.04</c:v>
                </c:pt>
                <c:pt idx="5">
                  <c:v>166.56</c:v>
                </c:pt>
                <c:pt idx="6">
                  <c:v>167.4</c:v>
                </c:pt>
                <c:pt idx="7">
                  <c:v>45.17</c:v>
                </c:pt>
                <c:pt idx="8">
                  <c:v>-71.5</c:v>
                </c:pt>
                <c:pt idx="9">
                  <c:v>-39.520000000000003</c:v>
                </c:pt>
                <c:pt idx="10">
                  <c:v>-95.5</c:v>
                </c:pt>
                <c:pt idx="11">
                  <c:v>-88.68</c:v>
                </c:pt>
                <c:pt idx="12">
                  <c:v>-90.075000000000003</c:v>
                </c:pt>
                <c:pt idx="13">
                  <c:v>53.19</c:v>
                </c:pt>
                <c:pt idx="14">
                  <c:v>-135.30000000000001</c:v>
                </c:pt>
              </c:numCache>
            </c:numRef>
          </c:val>
          <c:smooth val="0"/>
          <c:extLst>
            <c:ext xmlns:c16="http://schemas.microsoft.com/office/drawing/2014/chart" uri="{C3380CC4-5D6E-409C-BE32-E72D297353CC}">
              <c16:uniqueId val="{00000002-0958-4163-BEDA-5C7C61D5D56E}"/>
            </c:ext>
          </c:extLst>
        </c:ser>
        <c:ser>
          <c:idx val="3"/>
          <c:order val="3"/>
          <c:tx>
            <c:v>X</c:v>
          </c:tx>
          <c:val>
            <c:numRef>
              <c:f>Base_BOP!$E$18:$E$32</c:f>
              <c:numCache>
                <c:formatCode>0</c:formatCode>
                <c:ptCount val="15"/>
                <c:pt idx="0">
                  <c:v>172.96199999999999</c:v>
                </c:pt>
                <c:pt idx="1">
                  <c:v>176.44499999999999</c:v>
                </c:pt>
                <c:pt idx="2">
                  <c:v>182.33600000000001</c:v>
                </c:pt>
                <c:pt idx="3">
                  <c:v>279.38499999999999</c:v>
                </c:pt>
                <c:pt idx="4">
                  <c:v>281.45400000000001</c:v>
                </c:pt>
                <c:pt idx="5">
                  <c:v>384.51100000000002</c:v>
                </c:pt>
                <c:pt idx="6">
                  <c:v>400.28199999999998</c:v>
                </c:pt>
                <c:pt idx="7">
                  <c:v>398.48599999999999</c:v>
                </c:pt>
                <c:pt idx="8">
                  <c:v>396.17700000000002</c:v>
                </c:pt>
                <c:pt idx="9">
                  <c:v>297.56400000000002</c:v>
                </c:pt>
                <c:pt idx="10">
                  <c:v>538.26599999999996</c:v>
                </c:pt>
                <c:pt idx="11">
                  <c:v>620.24800000000005</c:v>
                </c:pt>
                <c:pt idx="12">
                  <c:v>573.423</c:v>
                </c:pt>
                <c:pt idx="13">
                  <c:v>951.673</c:v>
                </c:pt>
                <c:pt idx="14">
                  <c:v>1098.0840000000001</c:v>
                </c:pt>
              </c:numCache>
            </c:numRef>
          </c:val>
          <c:smooth val="0"/>
          <c:extLst>
            <c:ext xmlns:c16="http://schemas.microsoft.com/office/drawing/2014/chart" uri="{C3380CC4-5D6E-409C-BE32-E72D297353CC}">
              <c16:uniqueId val="{00000003-0958-4163-BEDA-5C7C61D5D56E}"/>
            </c:ext>
          </c:extLst>
        </c:ser>
        <c:dLbls>
          <c:showLegendKey val="0"/>
          <c:showVal val="0"/>
          <c:showCatName val="0"/>
          <c:showSerName val="0"/>
          <c:showPercent val="0"/>
          <c:showBubbleSize val="0"/>
        </c:dLbls>
        <c:marker val="1"/>
        <c:smooth val="0"/>
        <c:axId val="2128144112"/>
        <c:axId val="2128147120"/>
      </c:lineChart>
      <c:catAx>
        <c:axId val="2128144112"/>
        <c:scaling>
          <c:orientation val="minMax"/>
        </c:scaling>
        <c:delete val="0"/>
        <c:axPos val="b"/>
        <c:numFmt formatCode="General" sourceLinked="1"/>
        <c:majorTickMark val="out"/>
        <c:minorTickMark val="none"/>
        <c:tickLblPos val="nextTo"/>
        <c:crossAx val="2128147120"/>
        <c:crosses val="autoZero"/>
        <c:auto val="1"/>
        <c:lblAlgn val="ctr"/>
        <c:lblOffset val="100"/>
        <c:noMultiLvlLbl val="0"/>
      </c:catAx>
      <c:valAx>
        <c:axId val="2128147120"/>
        <c:scaling>
          <c:orientation val="minMax"/>
        </c:scaling>
        <c:delete val="0"/>
        <c:axPos val="l"/>
        <c:majorGridlines/>
        <c:numFmt formatCode="0" sourceLinked="1"/>
        <c:majorTickMark val="out"/>
        <c:minorTickMark val="none"/>
        <c:tickLblPos val="nextTo"/>
        <c:crossAx val="212814411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737945075868798E-2"/>
          <c:y val="3.6054027088208103E-2"/>
          <c:w val="0.91219266544922195"/>
          <c:h val="0.92789194582358403"/>
        </c:manualLayout>
      </c:layout>
      <c:lineChart>
        <c:grouping val="standard"/>
        <c:varyColors val="0"/>
        <c:ser>
          <c:idx val="0"/>
          <c:order val="0"/>
          <c:tx>
            <c:strRef>
              <c:f>'1960-1973'!$Y$2</c:f>
              <c:strCache>
                <c:ptCount val="1"/>
                <c:pt idx="0">
                  <c:v>Déficit (-)  Superávit (+) S.P.C.N.F.</c:v>
                </c:pt>
              </c:strCache>
            </c:strRef>
          </c:tx>
          <c:marker>
            <c:symbol val="circle"/>
            <c:size val="4"/>
          </c:marker>
          <c:cat>
            <c:numRef>
              <c:f>'1960-1973'!$A$5:$A$16</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'1960-1973'!$Y$5:$Y$16</c:f>
              <c:numCache>
                <c:formatCode>#,##0</c:formatCode>
                <c:ptCount val="12"/>
                <c:pt idx="0">
                  <c:v>65</c:v>
                </c:pt>
                <c:pt idx="1">
                  <c:v>-527</c:v>
                </c:pt>
                <c:pt idx="2">
                  <c:v>-581</c:v>
                </c:pt>
                <c:pt idx="3">
                  <c:v>294</c:v>
                </c:pt>
                <c:pt idx="4">
                  <c:v>-921</c:v>
                </c:pt>
                <c:pt idx="5">
                  <c:v>-2648</c:v>
                </c:pt>
                <c:pt idx="6">
                  <c:v>-2991</c:v>
                </c:pt>
                <c:pt idx="7">
                  <c:v>-790.9</c:v>
                </c:pt>
                <c:pt idx="8">
                  <c:v>-454</c:v>
                </c:pt>
                <c:pt idx="9">
                  <c:v>-1290</c:v>
                </c:pt>
                <c:pt idx="10">
                  <c:v>-2351</c:v>
                </c:pt>
                <c:pt idx="11">
                  <c:v>-1129</c:v>
                </c:pt>
              </c:numCache>
            </c:numRef>
          </c:val>
          <c:smooth val="0"/>
          <c:extLst>
            <c:ext xmlns:c16="http://schemas.microsoft.com/office/drawing/2014/chart" uri="{C3380CC4-5D6E-409C-BE32-E72D297353CC}">
              <c16:uniqueId val="{00000000-AF0F-4D3D-BFAD-7E47625469B4}"/>
            </c:ext>
          </c:extLst>
        </c:ser>
        <c:ser>
          <c:idx val="1"/>
          <c:order val="1"/>
          <c:tx>
            <c:strRef>
              <c:f>'1960-1973'!$Z$2</c:f>
              <c:strCache>
                <c:ptCount val="1"/>
                <c:pt idx="0">
                  <c:v>Déficit (-)  Superávit (+) E.P.</c:v>
                </c:pt>
              </c:strCache>
            </c:strRef>
          </c:tx>
          <c:marker>
            <c:symbol val="circle"/>
            <c:size val="4"/>
          </c:marker>
          <c:cat>
            <c:numRef>
              <c:f>'1960-1973'!$A$5:$A$16</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'1960-1973'!$Z$5:$Z$16</c:f>
              <c:numCache>
                <c:formatCode>#,##0</c:formatCode>
                <c:ptCount val="12"/>
                <c:pt idx="0">
                  <c:v>-21</c:v>
                </c:pt>
                <c:pt idx="1">
                  <c:v>-3</c:v>
                </c:pt>
                <c:pt idx="2">
                  <c:v>142</c:v>
                </c:pt>
                <c:pt idx="3">
                  <c:v>23</c:v>
                </c:pt>
                <c:pt idx="4">
                  <c:v>-1007</c:v>
                </c:pt>
                <c:pt idx="5">
                  <c:v>-2181</c:v>
                </c:pt>
                <c:pt idx="6">
                  <c:v>-1425</c:v>
                </c:pt>
                <c:pt idx="7">
                  <c:v>-636.9</c:v>
                </c:pt>
                <c:pt idx="8">
                  <c:v>-136</c:v>
                </c:pt>
                <c:pt idx="9">
                  <c:v>-815</c:v>
                </c:pt>
                <c:pt idx="10">
                  <c:v>-1410</c:v>
                </c:pt>
                <c:pt idx="11">
                  <c:v>-1611</c:v>
                </c:pt>
              </c:numCache>
            </c:numRef>
          </c:val>
          <c:smooth val="0"/>
          <c:extLst>
            <c:ext xmlns:c16="http://schemas.microsoft.com/office/drawing/2014/chart" uri="{C3380CC4-5D6E-409C-BE32-E72D297353CC}">
              <c16:uniqueId val="{00000001-AF0F-4D3D-BFAD-7E47625469B4}"/>
            </c:ext>
          </c:extLst>
        </c:ser>
        <c:ser>
          <c:idx val="2"/>
          <c:order val="2"/>
          <c:tx>
            <c:strRef>
              <c:f>'1960-1973'!$AA$2</c:f>
              <c:strCache>
                <c:ptCount val="1"/>
                <c:pt idx="0">
                  <c:v>Déficit (-) Superávit (+) A.C.</c:v>
                </c:pt>
              </c:strCache>
            </c:strRef>
          </c:tx>
          <c:marker>
            <c:symbol val="circle"/>
            <c:size val="4"/>
          </c:marker>
          <c:cat>
            <c:numRef>
              <c:f>'1960-1973'!$A$5:$A$16</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'1960-1973'!$AA$5:$AA$16</c:f>
              <c:numCache>
                <c:formatCode>#,##0</c:formatCode>
                <c:ptCount val="12"/>
                <c:pt idx="0">
                  <c:v>54</c:v>
                </c:pt>
                <c:pt idx="1">
                  <c:v>-467</c:v>
                </c:pt>
                <c:pt idx="2">
                  <c:v>-693</c:v>
                </c:pt>
                <c:pt idx="3">
                  <c:v>282</c:v>
                </c:pt>
                <c:pt idx="4">
                  <c:v>-25</c:v>
                </c:pt>
                <c:pt idx="5">
                  <c:v>-511</c:v>
                </c:pt>
                <c:pt idx="6">
                  <c:v>-1360</c:v>
                </c:pt>
                <c:pt idx="7">
                  <c:v>21.9</c:v>
                </c:pt>
                <c:pt idx="8">
                  <c:v>-82</c:v>
                </c:pt>
                <c:pt idx="9">
                  <c:v>-429</c:v>
                </c:pt>
                <c:pt idx="10">
                  <c:v>-968</c:v>
                </c:pt>
                <c:pt idx="11">
                  <c:v>136</c:v>
                </c:pt>
              </c:numCache>
            </c:numRef>
          </c:val>
          <c:smooth val="0"/>
          <c:extLst>
            <c:ext xmlns:c16="http://schemas.microsoft.com/office/drawing/2014/chart" uri="{C3380CC4-5D6E-409C-BE32-E72D297353CC}">
              <c16:uniqueId val="{00000002-AF0F-4D3D-BFAD-7E47625469B4}"/>
            </c:ext>
          </c:extLst>
        </c:ser>
        <c:dLbls>
          <c:showLegendKey val="0"/>
          <c:showVal val="0"/>
          <c:showCatName val="0"/>
          <c:showSerName val="0"/>
          <c:showPercent val="0"/>
          <c:showBubbleSize val="0"/>
        </c:dLbls>
        <c:marker val="1"/>
        <c:smooth val="0"/>
        <c:axId val="2129229888"/>
        <c:axId val="2129232928"/>
      </c:lineChart>
      <c:catAx>
        <c:axId val="2129229888"/>
        <c:scaling>
          <c:orientation val="minMax"/>
        </c:scaling>
        <c:delete val="0"/>
        <c:axPos val="b"/>
        <c:numFmt formatCode="General" sourceLinked="1"/>
        <c:majorTickMark val="out"/>
        <c:minorTickMark val="none"/>
        <c:tickLblPos val="nextTo"/>
        <c:crossAx val="2129232928"/>
        <c:crosses val="autoZero"/>
        <c:auto val="1"/>
        <c:lblAlgn val="ctr"/>
        <c:lblOffset val="100"/>
        <c:noMultiLvlLbl val="0"/>
      </c:catAx>
      <c:valAx>
        <c:axId val="2129232928"/>
        <c:scaling>
          <c:orientation val="minMax"/>
        </c:scaling>
        <c:delete val="0"/>
        <c:axPos val="l"/>
        <c:majorGridlines>
          <c:spPr>
            <a:ln>
              <a:solidFill>
                <a:schemeClr val="bg1"/>
              </a:solidFill>
            </a:ln>
          </c:spPr>
        </c:majorGridlines>
        <c:numFmt formatCode="#,##0" sourceLinked="1"/>
        <c:majorTickMark val="out"/>
        <c:minorTickMark val="none"/>
        <c:tickLblPos val="nextTo"/>
        <c:crossAx val="2129229888"/>
        <c:crosses val="autoZero"/>
        <c:crossBetween val="between"/>
      </c:valAx>
    </c:plotArea>
    <c:legend>
      <c:legendPos val="r"/>
      <c:layout>
        <c:manualLayout>
          <c:xMode val="edge"/>
          <c:yMode val="edge"/>
          <c:x val="9.0341217678597402E-2"/>
          <c:y val="0.73015963525092897"/>
          <c:w val="0.30470831461467202"/>
          <c:h val="0.26984031948078402"/>
        </c:manualLayout>
      </c:layout>
      <c:overlay val="0"/>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9.0924157208662398E-2"/>
          <c:y val="0.17165536599591699"/>
          <c:w val="0.86228281368756199"/>
          <c:h val="0.73990704286964104"/>
        </c:manualLayout>
      </c:layout>
      <c:lineChart>
        <c:grouping val="standard"/>
        <c:varyColors val="0"/>
        <c:ser>
          <c:idx val="0"/>
          <c:order val="0"/>
          <c:tx>
            <c:strRef>
              <c:f>'1960-1973'!$BK$2</c:f>
              <c:strCache>
                <c:ptCount val="1"/>
                <c:pt idx="0">
                  <c:v>Inflación</c:v>
                </c:pt>
              </c:strCache>
            </c:strRef>
          </c:tx>
          <c:marker>
            <c:symbol val="none"/>
          </c:marker>
          <c:cat>
            <c:numRef>
              <c:f>'1960-1973'!$A$5:$A$16</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'1960-1973'!$BK$5:$BK$17</c:f>
              <c:numCache>
                <c:formatCode>#,##0.0000</c:formatCode>
                <c:ptCount val="12"/>
                <c:pt idx="0">
                  <c:v>2.0000000000000018E-2</c:v>
                </c:pt>
                <c:pt idx="1">
                  <c:v>1.5686274509804088E-2</c:v>
                </c:pt>
                <c:pt idx="2">
                  <c:v>5.044222772771989E-2</c:v>
                </c:pt>
                <c:pt idx="3">
                  <c:v>3.9215686274509665E-2</c:v>
                </c:pt>
                <c:pt idx="4">
                  <c:v>1.3207547169811429E-2</c:v>
                </c:pt>
                <c:pt idx="5">
                  <c:v>5.5865921787707773E-3</c:v>
                </c:pt>
                <c:pt idx="6">
                  <c:v>2.6851851851851904E-2</c:v>
                </c:pt>
                <c:pt idx="7">
                  <c:v>-2.7051397655546428E-3</c:v>
                </c:pt>
                <c:pt idx="8">
                  <c:v>2.2603978300180794E-2</c:v>
                </c:pt>
                <c:pt idx="9">
                  <c:v>6.2776304155614637E-2</c:v>
                </c:pt>
                <c:pt idx="10">
                  <c:v>9.4841930116472462E-2</c:v>
                </c:pt>
                <c:pt idx="11">
                  <c:v>0.14133738601823698</c:v>
                </c:pt>
              </c:numCache>
            </c:numRef>
          </c:val>
          <c:smooth val="0"/>
          <c:extLst>
            <c:ext xmlns:c16="http://schemas.microsoft.com/office/drawing/2014/chart" uri="{C3380CC4-5D6E-409C-BE32-E72D297353CC}">
              <c16:uniqueId val="{00000000-63BE-444B-B9BA-F81A6A133CE3}"/>
            </c:ext>
          </c:extLst>
        </c:ser>
        <c:dLbls>
          <c:showLegendKey val="0"/>
          <c:showVal val="0"/>
          <c:showCatName val="0"/>
          <c:showSerName val="0"/>
          <c:showPercent val="0"/>
          <c:showBubbleSize val="0"/>
        </c:dLbls>
        <c:smooth val="0"/>
        <c:axId val="2124228416"/>
        <c:axId val="2124231328"/>
      </c:lineChart>
      <c:catAx>
        <c:axId val="2124228416"/>
        <c:scaling>
          <c:orientation val="minMax"/>
        </c:scaling>
        <c:delete val="0"/>
        <c:axPos val="b"/>
        <c:numFmt formatCode="General" sourceLinked="1"/>
        <c:majorTickMark val="out"/>
        <c:minorTickMark val="none"/>
        <c:tickLblPos val="nextTo"/>
        <c:crossAx val="2124231328"/>
        <c:crosses val="autoZero"/>
        <c:auto val="1"/>
        <c:lblAlgn val="ctr"/>
        <c:lblOffset val="100"/>
        <c:noMultiLvlLbl val="0"/>
      </c:catAx>
      <c:valAx>
        <c:axId val="2124231328"/>
        <c:scaling>
          <c:orientation val="minMax"/>
        </c:scaling>
        <c:delete val="0"/>
        <c:axPos val="l"/>
        <c:majorGridlines>
          <c:spPr>
            <a:ln>
              <a:solidFill>
                <a:schemeClr val="bg1"/>
              </a:solidFill>
            </a:ln>
          </c:spPr>
        </c:majorGridlines>
        <c:numFmt formatCode="#,##0.0000" sourceLinked="1"/>
        <c:majorTickMark val="out"/>
        <c:minorTickMark val="none"/>
        <c:tickLblPos val="nextTo"/>
        <c:crossAx val="2124228416"/>
        <c:crosses val="autoZero"/>
        <c:crossBetween val="between"/>
      </c:valAx>
    </c:plotArea>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M0</c:v>
          </c:tx>
          <c:spPr>
            <a:ln w="38100">
              <a:solidFill>
                <a:srgbClr val="00B0F0"/>
              </a:solidFill>
            </a:ln>
          </c:spPr>
          <c:marker>
            <c:symbol val="none"/>
          </c:marker>
          <c:cat>
            <c:numRef>
              <c:f>'1974-1989'!$A$17:$A$32</c:f>
              <c:numCache>
                <c:formatCode>General</c:formatCode>
                <c:ptCount val="1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numCache>
            </c:numRef>
          </c:cat>
          <c:val>
            <c:numRef>
              <c:f>'1974-1989'!$B$17:$B$32</c:f>
              <c:numCache>
                <c:formatCode>#,##0</c:formatCode>
                <c:ptCount val="16"/>
                <c:pt idx="0">
                  <c:v>8312</c:v>
                </c:pt>
                <c:pt idx="1">
                  <c:v>9722</c:v>
                </c:pt>
                <c:pt idx="2">
                  <c:v>11257</c:v>
                </c:pt>
                <c:pt idx="3">
                  <c:v>14757</c:v>
                </c:pt>
                <c:pt idx="4">
                  <c:v>20158</c:v>
                </c:pt>
                <c:pt idx="5">
                  <c:v>24423</c:v>
                </c:pt>
                <c:pt idx="6">
                  <c:v>33712</c:v>
                </c:pt>
                <c:pt idx="7">
                  <c:v>34369</c:v>
                </c:pt>
                <c:pt idx="8">
                  <c:v>36131</c:v>
                </c:pt>
                <c:pt idx="9">
                  <c:v>41848</c:v>
                </c:pt>
                <c:pt idx="10">
                  <c:v>53703</c:v>
                </c:pt>
                <c:pt idx="11">
                  <c:v>69563</c:v>
                </c:pt>
                <c:pt idx="12">
                  <c:v>92060</c:v>
                </c:pt>
                <c:pt idx="13">
                  <c:v>128309</c:v>
                </c:pt>
                <c:pt idx="14">
                  <c:v>159275</c:v>
                </c:pt>
                <c:pt idx="15">
                  <c:v>229907</c:v>
                </c:pt>
              </c:numCache>
            </c:numRef>
          </c:val>
          <c:smooth val="0"/>
          <c:extLst>
            <c:ext xmlns:c16="http://schemas.microsoft.com/office/drawing/2014/chart" uri="{C3380CC4-5D6E-409C-BE32-E72D297353CC}">
              <c16:uniqueId val="{00000000-8DDA-4E70-B827-888A7690B5AE}"/>
            </c:ext>
          </c:extLst>
        </c:ser>
        <c:ser>
          <c:idx val="1"/>
          <c:order val="1"/>
          <c:tx>
            <c:v>Base Monetaria</c:v>
          </c:tx>
          <c:spPr>
            <a:ln w="38100">
              <a:solidFill>
                <a:schemeClr val="accent6">
                  <a:lumMod val="75000"/>
                </a:schemeClr>
              </a:solidFill>
            </a:ln>
          </c:spPr>
          <c:marker>
            <c:symbol val="none"/>
          </c:marker>
          <c:cat>
            <c:numRef>
              <c:f>'1974-1989'!$A$17:$A$32</c:f>
              <c:numCache>
                <c:formatCode>General</c:formatCode>
                <c:ptCount val="1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numCache>
            </c:numRef>
          </c:cat>
          <c:val>
            <c:numRef>
              <c:f>'1974-1989'!$C$17:$C$32</c:f>
              <c:numCache>
                <c:formatCode>#,##0</c:formatCode>
                <c:ptCount val="16"/>
                <c:pt idx="0">
                  <c:v>17279</c:v>
                </c:pt>
                <c:pt idx="1">
                  <c:v>21045</c:v>
                </c:pt>
                <c:pt idx="2">
                  <c:v>25198</c:v>
                </c:pt>
                <c:pt idx="3">
                  <c:v>33240</c:v>
                </c:pt>
                <c:pt idx="4">
                  <c:v>44336</c:v>
                </c:pt>
                <c:pt idx="5">
                  <c:v>50650</c:v>
                </c:pt>
                <c:pt idx="6">
                  <c:v>66508</c:v>
                </c:pt>
                <c:pt idx="7">
                  <c:v>78790</c:v>
                </c:pt>
                <c:pt idx="8">
                  <c:v>77075</c:v>
                </c:pt>
                <c:pt idx="9">
                  <c:v>97358</c:v>
                </c:pt>
                <c:pt idx="10">
                  <c:v>120126</c:v>
                </c:pt>
                <c:pt idx="11">
                  <c:v>143499</c:v>
                </c:pt>
                <c:pt idx="12">
                  <c:v>201113</c:v>
                </c:pt>
                <c:pt idx="13">
                  <c:v>286885</c:v>
                </c:pt>
                <c:pt idx="14">
                  <c:v>354311</c:v>
                </c:pt>
                <c:pt idx="15">
                  <c:v>450736</c:v>
                </c:pt>
              </c:numCache>
            </c:numRef>
          </c:val>
          <c:smooth val="0"/>
          <c:extLst>
            <c:ext xmlns:c16="http://schemas.microsoft.com/office/drawing/2014/chart" uri="{C3380CC4-5D6E-409C-BE32-E72D297353CC}">
              <c16:uniqueId val="{00000001-8DDA-4E70-B827-888A7690B5AE}"/>
            </c:ext>
          </c:extLst>
        </c:ser>
        <c:ser>
          <c:idx val="2"/>
          <c:order val="2"/>
          <c:tx>
            <c:v>M1</c:v>
          </c:tx>
          <c:spPr>
            <a:ln w="38100">
              <a:solidFill>
                <a:srgbClr val="00B050"/>
              </a:solidFill>
            </a:ln>
          </c:spPr>
          <c:marker>
            <c:symbol val="none"/>
          </c:marker>
          <c:cat>
            <c:numRef>
              <c:f>'1974-1989'!$A$17:$A$32</c:f>
              <c:numCache>
                <c:formatCode>General</c:formatCode>
                <c:ptCount val="1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numCache>
            </c:numRef>
          </c:cat>
          <c:val>
            <c:numRef>
              <c:f>'1974-1989'!$D$17:$D$32</c:f>
              <c:numCache>
                <c:formatCode>#,##0</c:formatCode>
                <c:ptCount val="16"/>
                <c:pt idx="0">
                  <c:v>15319</c:v>
                </c:pt>
                <c:pt idx="1">
                  <c:v>18139</c:v>
                </c:pt>
                <c:pt idx="2">
                  <c:v>22104</c:v>
                </c:pt>
                <c:pt idx="3">
                  <c:v>28340</c:v>
                </c:pt>
                <c:pt idx="4">
                  <c:v>39080</c:v>
                </c:pt>
                <c:pt idx="5">
                  <c:v>48230</c:v>
                </c:pt>
                <c:pt idx="6">
                  <c:v>60589</c:v>
                </c:pt>
                <c:pt idx="7">
                  <c:v>61627</c:v>
                </c:pt>
                <c:pt idx="8">
                  <c:v>60352</c:v>
                </c:pt>
                <c:pt idx="9">
                  <c:v>73835</c:v>
                </c:pt>
                <c:pt idx="10">
                  <c:v>93645</c:v>
                </c:pt>
                <c:pt idx="11">
                  <c:v>121730</c:v>
                </c:pt>
                <c:pt idx="12">
                  <c:v>154089</c:v>
                </c:pt>
                <c:pt idx="13">
                  <c:v>218044</c:v>
                </c:pt>
                <c:pt idx="14">
                  <c:v>273243</c:v>
                </c:pt>
                <c:pt idx="15">
                  <c:v>374504</c:v>
                </c:pt>
              </c:numCache>
            </c:numRef>
          </c:val>
          <c:smooth val="0"/>
          <c:extLst>
            <c:ext xmlns:c16="http://schemas.microsoft.com/office/drawing/2014/chart" uri="{C3380CC4-5D6E-409C-BE32-E72D297353CC}">
              <c16:uniqueId val="{00000002-8DDA-4E70-B827-888A7690B5AE}"/>
            </c:ext>
          </c:extLst>
        </c:ser>
        <c:dLbls>
          <c:showLegendKey val="0"/>
          <c:showVal val="0"/>
          <c:showCatName val="0"/>
          <c:showSerName val="0"/>
          <c:showPercent val="0"/>
          <c:showBubbleSize val="0"/>
        </c:dLbls>
        <c:smooth val="0"/>
        <c:axId val="2129268128"/>
        <c:axId val="2129271040"/>
      </c:lineChart>
      <c:catAx>
        <c:axId val="2129268128"/>
        <c:scaling>
          <c:orientation val="minMax"/>
        </c:scaling>
        <c:delete val="0"/>
        <c:axPos val="b"/>
        <c:numFmt formatCode="General" sourceLinked="1"/>
        <c:majorTickMark val="none"/>
        <c:minorTickMark val="cross"/>
        <c:tickLblPos val="nextTo"/>
        <c:crossAx val="2129271040"/>
        <c:crosses val="autoZero"/>
        <c:auto val="1"/>
        <c:lblAlgn val="ctr"/>
        <c:lblOffset val="100"/>
        <c:noMultiLvlLbl val="0"/>
      </c:catAx>
      <c:valAx>
        <c:axId val="2129271040"/>
        <c:scaling>
          <c:orientation val="minMax"/>
        </c:scaling>
        <c:delete val="0"/>
        <c:axPos val="l"/>
        <c:numFmt formatCode="#,##0" sourceLinked="1"/>
        <c:majorTickMark val="out"/>
        <c:minorTickMark val="none"/>
        <c:tickLblPos val="nextTo"/>
        <c:crossAx val="2129268128"/>
        <c:crosses val="autoZero"/>
        <c:crossBetween val="between"/>
      </c:valAx>
    </c:plotArea>
    <c:legend>
      <c:legendPos val="b"/>
      <c:layout>
        <c:manualLayout>
          <c:xMode val="edge"/>
          <c:yMode val="edge"/>
          <c:x val="0.10137897726579299"/>
          <c:y val="5.7643481557064703E-2"/>
          <c:w val="0.38917556522923902"/>
          <c:h val="7.4484600661519407E-2"/>
        </c:manualLayout>
      </c:layout>
      <c:overlay val="0"/>
    </c:legend>
    <c:plotVisOnly val="1"/>
    <c:dispBlanksAs val="gap"/>
    <c:showDLblsOverMax val="0"/>
  </c:chart>
  <c:txPr>
    <a:bodyPr/>
    <a:lstStyle/>
    <a:p>
      <a:pPr>
        <a:defRPr sz="1400"/>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'1974-1989'!$G$2</c:f>
              <c:strCache>
                <c:ptCount val="1"/>
                <c:pt idx="0">
                  <c:v>M0/GDP</c:v>
                </c:pt>
              </c:strCache>
            </c:strRef>
          </c:tx>
          <c:spPr>
            <a:ln w="38100">
              <a:solidFill>
                <a:srgbClr val="00B0F0"/>
              </a:solidFill>
            </a:ln>
          </c:spPr>
          <c:marker>
            <c:symbol val="none"/>
          </c:marker>
          <c:cat>
            <c:numRef>
              <c:f>'1974-1989'!$A$17:$A$32</c:f>
              <c:numCache>
                <c:formatCode>General</c:formatCode>
                <c:ptCount val="1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numCache>
            </c:numRef>
          </c:cat>
          <c:val>
            <c:numRef>
              <c:f>'1974-1989'!$G$17:$G$32</c:f>
              <c:numCache>
                <c:formatCode>0%</c:formatCode>
                <c:ptCount val="16"/>
                <c:pt idx="0">
                  <c:v>5.4991005528221691E-2</c:v>
                </c:pt>
                <c:pt idx="1">
                  <c:v>5.7074735543044763E-2</c:v>
                </c:pt>
                <c:pt idx="2">
                  <c:v>5.7982928310434757E-2</c:v>
                </c:pt>
                <c:pt idx="3">
                  <c:v>6.1243414159821687E-2</c:v>
                </c:pt>
                <c:pt idx="4">
                  <c:v>6.8068817732372153E-2</c:v>
                </c:pt>
                <c:pt idx="5">
                  <c:v>6.1826371391630733E-2</c:v>
                </c:pt>
                <c:pt idx="6">
                  <c:v>6.5340155870302202E-2</c:v>
                </c:pt>
                <c:pt idx="7">
                  <c:v>5.2259596279260509E-2</c:v>
                </c:pt>
                <c:pt idx="8">
                  <c:v>5.2426588820895285E-2</c:v>
                </c:pt>
                <c:pt idx="9">
                  <c:v>5.4727222674191049E-2</c:v>
                </c:pt>
                <c:pt idx="10">
                  <c:v>5.4180761000368068E-2</c:v>
                </c:pt>
                <c:pt idx="11">
                  <c:v>5.3214480723903605E-2</c:v>
                </c:pt>
                <c:pt idx="12">
                  <c:v>5.172754756427405E-2</c:v>
                </c:pt>
                <c:pt idx="13">
                  <c:v>5.0837283590536242E-2</c:v>
                </c:pt>
                <c:pt idx="14">
                  <c:v>4.6443905817523279E-2</c:v>
                </c:pt>
                <c:pt idx="15">
                  <c:v>4.7320679649598706E-2</c:v>
                </c:pt>
              </c:numCache>
            </c:numRef>
          </c:val>
          <c:smooth val="0"/>
          <c:extLst>
            <c:ext xmlns:c16="http://schemas.microsoft.com/office/drawing/2014/chart" uri="{C3380CC4-5D6E-409C-BE32-E72D297353CC}">
              <c16:uniqueId val="{00000000-9272-4F11-AA9D-31A254372682}"/>
            </c:ext>
          </c:extLst>
        </c:ser>
        <c:ser>
          <c:idx val="1"/>
          <c:order val="1"/>
          <c:tx>
            <c:strRef>
              <c:f>'1974-1989'!$H$2</c:f>
              <c:strCache>
                <c:ptCount val="1"/>
                <c:pt idx="0">
                  <c:v>Monetary Base/GDP</c:v>
                </c:pt>
              </c:strCache>
            </c:strRef>
          </c:tx>
          <c:spPr>
            <a:ln w="38100">
              <a:solidFill>
                <a:schemeClr val="accent6">
                  <a:lumMod val="75000"/>
                </a:schemeClr>
              </a:solidFill>
            </a:ln>
          </c:spPr>
          <c:marker>
            <c:symbol val="none"/>
          </c:marker>
          <c:cat>
            <c:numRef>
              <c:f>'1974-1989'!$A$17:$A$32</c:f>
              <c:numCache>
                <c:formatCode>General</c:formatCode>
                <c:ptCount val="1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numCache>
            </c:numRef>
          </c:cat>
          <c:val>
            <c:numRef>
              <c:f>'1974-1989'!$H$17:$H$32</c:f>
              <c:numCache>
                <c:formatCode>0%</c:formatCode>
                <c:ptCount val="16"/>
                <c:pt idx="0">
                  <c:v>0.11431539756041176</c:v>
                </c:pt>
                <c:pt idx="1">
                  <c:v>0.1235484272272554</c:v>
                </c:pt>
                <c:pt idx="2">
                  <c:v>0.12979069268600293</c:v>
                </c:pt>
                <c:pt idx="3">
                  <c:v>0.13795019900199723</c:v>
                </c:pt>
                <c:pt idx="4">
                  <c:v>0.14971222854362792</c:v>
                </c:pt>
                <c:pt idx="5">
                  <c:v>0.12821953531450259</c:v>
                </c:pt>
                <c:pt idx="6">
                  <c:v>0.12890493256472646</c:v>
                </c:pt>
                <c:pt idx="7">
                  <c:v>0.11980370656239446</c:v>
                </c:pt>
                <c:pt idx="8">
                  <c:v>0.11183690828846431</c:v>
                </c:pt>
                <c:pt idx="9">
                  <c:v>0.12732108930209071</c:v>
                </c:pt>
                <c:pt idx="10">
                  <c:v>0.12119468364765869</c:v>
                </c:pt>
                <c:pt idx="11">
                  <c:v>0.10977423011370188</c:v>
                </c:pt>
                <c:pt idx="12">
                  <c:v>0.1130032834379084</c:v>
                </c:pt>
                <c:pt idx="13">
                  <c:v>0.11366664928314452</c:v>
                </c:pt>
                <c:pt idx="14">
                  <c:v>0.10331556561991831</c:v>
                </c:pt>
                <c:pt idx="15">
                  <c:v>9.2772877130933462E-2</c:v>
                </c:pt>
              </c:numCache>
            </c:numRef>
          </c:val>
          <c:smooth val="0"/>
          <c:extLst>
            <c:ext xmlns:c16="http://schemas.microsoft.com/office/drawing/2014/chart" uri="{C3380CC4-5D6E-409C-BE32-E72D297353CC}">
              <c16:uniqueId val="{00000001-9272-4F11-AA9D-31A254372682}"/>
            </c:ext>
          </c:extLst>
        </c:ser>
        <c:ser>
          <c:idx val="2"/>
          <c:order val="2"/>
          <c:tx>
            <c:strRef>
              <c:f>'1974-1989'!$I$2</c:f>
              <c:strCache>
                <c:ptCount val="1"/>
                <c:pt idx="0">
                  <c:v>M1/GDP</c:v>
                </c:pt>
              </c:strCache>
            </c:strRef>
          </c:tx>
          <c:spPr>
            <a:ln w="38100">
              <a:solidFill>
                <a:srgbClr val="00B050"/>
              </a:solidFill>
            </a:ln>
          </c:spPr>
          <c:marker>
            <c:symbol val="none"/>
          </c:marker>
          <c:cat>
            <c:numRef>
              <c:f>'1974-1989'!$A$17:$A$32</c:f>
              <c:numCache>
                <c:formatCode>General</c:formatCode>
                <c:ptCount val="1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numCache>
            </c:numRef>
          </c:cat>
          <c:val>
            <c:numRef>
              <c:f>'1974-1989'!$I$16:$I$32</c:f>
              <c:numCache>
                <c:formatCode>0%</c:formatCode>
                <c:ptCount val="17"/>
                <c:pt idx="0">
                  <c:v>0.11185180281237136</c:v>
                </c:pt>
                <c:pt idx="1">
                  <c:v>0.10134831733479645</c:v>
                </c:pt>
                <c:pt idx="2">
                  <c:v>0.10648823575553271</c:v>
                </c:pt>
                <c:pt idx="3">
                  <c:v>0.1138540150460913</c:v>
                </c:pt>
                <c:pt idx="4">
                  <c:v>0.11761458001554155</c:v>
                </c:pt>
                <c:pt idx="5">
                  <c:v>0.1319639546076547</c:v>
                </c:pt>
                <c:pt idx="6">
                  <c:v>0.12209335021161816</c:v>
                </c:pt>
                <c:pt idx="7">
                  <c:v>0.11743280446208294</c:v>
                </c:pt>
                <c:pt idx="8">
                  <c:v>9.3706600130989762E-2</c:v>
                </c:pt>
                <c:pt idx="9">
                  <c:v>8.7571600246842657E-2</c:v>
                </c:pt>
                <c:pt idx="10">
                  <c:v>9.6558604620266109E-2</c:v>
                </c:pt>
                <c:pt idx="11">
                  <c:v>9.4478099247331956E-2</c:v>
                </c:pt>
                <c:pt idx="12">
                  <c:v>9.3121325108474137E-2</c:v>
                </c:pt>
                <c:pt idx="13">
                  <c:v>8.6580991490673734E-2</c:v>
                </c:pt>
                <c:pt idx="14">
                  <c:v>8.6391170246942026E-2</c:v>
                </c:pt>
                <c:pt idx="15">
                  <c:v>7.9676485056019541E-2</c:v>
                </c:pt>
                <c:pt idx="16">
                  <c:v>7.7082402064718836E-2</c:v>
                </c:pt>
              </c:numCache>
            </c:numRef>
          </c:val>
          <c:smooth val="0"/>
          <c:extLst>
            <c:ext xmlns:c16="http://schemas.microsoft.com/office/drawing/2014/chart" uri="{C3380CC4-5D6E-409C-BE32-E72D297353CC}">
              <c16:uniqueId val="{00000002-9272-4F11-AA9D-31A254372682}"/>
            </c:ext>
          </c:extLst>
        </c:ser>
        <c:dLbls>
          <c:showLegendKey val="0"/>
          <c:showVal val="0"/>
          <c:showCatName val="0"/>
          <c:showSerName val="0"/>
          <c:showPercent val="0"/>
          <c:showBubbleSize val="0"/>
        </c:dLbls>
        <c:smooth val="0"/>
        <c:axId val="2128226336"/>
        <c:axId val="2128229376"/>
      </c:lineChart>
      <c:catAx>
        <c:axId val="2128226336"/>
        <c:scaling>
          <c:orientation val="minMax"/>
        </c:scaling>
        <c:delete val="0"/>
        <c:axPos val="b"/>
        <c:numFmt formatCode="General" sourceLinked="1"/>
        <c:majorTickMark val="none"/>
        <c:minorTickMark val="cross"/>
        <c:tickLblPos val="nextTo"/>
        <c:crossAx val="2128229376"/>
        <c:crosses val="autoZero"/>
        <c:auto val="1"/>
        <c:lblAlgn val="ctr"/>
        <c:lblOffset val="100"/>
        <c:noMultiLvlLbl val="0"/>
      </c:catAx>
      <c:valAx>
        <c:axId val="2128229376"/>
        <c:scaling>
          <c:orientation val="minMax"/>
          <c:min val="0.03"/>
        </c:scaling>
        <c:delete val="0"/>
        <c:axPos val="l"/>
        <c:numFmt formatCode="0%" sourceLinked="1"/>
        <c:majorTickMark val="out"/>
        <c:minorTickMark val="none"/>
        <c:tickLblPos val="nextTo"/>
        <c:crossAx val="2128226336"/>
        <c:crosses val="autoZero"/>
        <c:crossBetween val="between"/>
      </c:valAx>
    </c:plotArea>
    <c:legend>
      <c:legendPos val="b"/>
      <c:layout>
        <c:manualLayout>
          <c:xMode val="edge"/>
          <c:yMode val="edge"/>
          <c:x val="9.2267321937833005E-2"/>
          <c:y val="3.4222292359828002E-2"/>
          <c:w val="0.38917556522923902"/>
          <c:h val="7.4484600661519407E-2"/>
        </c:manualLayout>
      </c:layout>
      <c:overlay val="0"/>
    </c:legend>
    <c:plotVisOnly val="1"/>
    <c:dispBlanksAs val="gap"/>
    <c:showDLblsOverMax val="0"/>
  </c:chart>
  <c:txPr>
    <a:bodyPr/>
    <a:lstStyle/>
    <a:p>
      <a:pPr>
        <a:defRPr sz="1400"/>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561548795008703E-2"/>
          <c:y val="3.6775832830389703E-2"/>
          <c:w val="0.93268719714229298"/>
          <c:h val="0.88338731392605396"/>
        </c:manualLayout>
      </c:layout>
      <c:lineChart>
        <c:grouping val="standard"/>
        <c:varyColors val="0"/>
        <c:ser>
          <c:idx val="2"/>
          <c:order val="0"/>
          <c:tx>
            <c:strRef>
              <c:f>'1974-1989'!$X$2</c:f>
              <c:strCache>
                <c:ptCount val="1"/>
                <c:pt idx="0">
                  <c:v>Net Private Capital Inflows</c:v>
                </c:pt>
              </c:strCache>
            </c:strRef>
          </c:tx>
          <c:spPr>
            <a:ln w="38100">
              <a:solidFill>
                <a:sysClr val="windowText" lastClr="000000"/>
              </a:solidFill>
            </a:ln>
          </c:spPr>
          <c:marker>
            <c:symbol val="none"/>
          </c:marker>
          <c:cat>
            <c:numRef>
              <c:f>'1974-1989'!$A$17:$A$31</c:f>
              <c:numCache>
                <c:formatCode>General</c:formatCode>
                <c:ptCount val="15"/>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numCache>
            </c:numRef>
          </c:cat>
          <c:val>
            <c:numRef>
              <c:f>'1974-1989'!$X$17:$X$31</c:f>
              <c:numCache>
                <c:formatCode>#,##0</c:formatCode>
                <c:ptCount val="15"/>
                <c:pt idx="0">
                  <c:v>83.959000000000003</c:v>
                </c:pt>
                <c:pt idx="1">
                  <c:v>100.491</c:v>
                </c:pt>
                <c:pt idx="2">
                  <c:v>124.994</c:v>
                </c:pt>
                <c:pt idx="3">
                  <c:v>227.57599999999999</c:v>
                </c:pt>
                <c:pt idx="4">
                  <c:v>328</c:v>
                </c:pt>
                <c:pt idx="5">
                  <c:v>343.83</c:v>
                </c:pt>
                <c:pt idx="6">
                  <c:v>378.62</c:v>
                </c:pt>
                <c:pt idx="7">
                  <c:v>393.30500000000001</c:v>
                </c:pt>
                <c:pt idx="8">
                  <c:v>267.33499999999998</c:v>
                </c:pt>
                <c:pt idx="9">
                  <c:v>77.724000000000004</c:v>
                </c:pt>
                <c:pt idx="10">
                  <c:v>67.17</c:v>
                </c:pt>
                <c:pt idx="11">
                  <c:v>-2.2410000000000001</c:v>
                </c:pt>
                <c:pt idx="12">
                  <c:v>-129.934</c:v>
                </c:pt>
                <c:pt idx="13">
                  <c:v>190.06899999999999</c:v>
                </c:pt>
                <c:pt idx="14">
                  <c:v>-18.489000000000001</c:v>
                </c:pt>
              </c:numCache>
            </c:numRef>
          </c:val>
          <c:smooth val="0"/>
          <c:extLst>
            <c:ext xmlns:c16="http://schemas.microsoft.com/office/drawing/2014/chart" uri="{C3380CC4-5D6E-409C-BE32-E72D297353CC}">
              <c16:uniqueId val="{00000000-8FAC-433C-A93E-67AC61E79152}"/>
            </c:ext>
          </c:extLst>
        </c:ser>
        <c:ser>
          <c:idx val="1"/>
          <c:order val="1"/>
          <c:tx>
            <c:strRef>
              <c:f>'1974-1989'!$Z$2</c:f>
              <c:strCache>
                <c:ptCount val="1"/>
                <c:pt idx="0">
                  <c:v>Short  Run</c:v>
                </c:pt>
              </c:strCache>
            </c:strRef>
          </c:tx>
          <c:spPr>
            <a:ln w="38100">
              <a:solidFill>
                <a:srgbClr val="00B050"/>
              </a:solidFill>
            </a:ln>
            <a:effectLst/>
          </c:spPr>
          <c:marker>
            <c:symbol val="none"/>
          </c:marker>
          <c:cat>
            <c:numRef>
              <c:f>'1974-1989'!$A$17:$A$31</c:f>
              <c:numCache>
                <c:formatCode>General</c:formatCode>
                <c:ptCount val="15"/>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numCache>
            </c:numRef>
          </c:cat>
          <c:val>
            <c:numRef>
              <c:f>'1974-1989'!$Z$17:$Z$31</c:f>
              <c:numCache>
                <c:formatCode>#,##0</c:formatCode>
                <c:ptCount val="15"/>
                <c:pt idx="0">
                  <c:v>40.908999999999999</c:v>
                </c:pt>
                <c:pt idx="1">
                  <c:v>-5.907</c:v>
                </c:pt>
                <c:pt idx="2">
                  <c:v>-6.7119999999999997</c:v>
                </c:pt>
                <c:pt idx="3">
                  <c:v>23.928999999999998</c:v>
                </c:pt>
                <c:pt idx="4">
                  <c:v>-14</c:v>
                </c:pt>
                <c:pt idx="5">
                  <c:v>69.558000000000007</c:v>
                </c:pt>
                <c:pt idx="6">
                  <c:v>68.992000000000004</c:v>
                </c:pt>
                <c:pt idx="7">
                  <c:v>39.799999999999997</c:v>
                </c:pt>
                <c:pt idx="8">
                  <c:v>-98.2</c:v>
                </c:pt>
                <c:pt idx="9">
                  <c:v>-185</c:v>
                </c:pt>
                <c:pt idx="10">
                  <c:v>-110.6</c:v>
                </c:pt>
                <c:pt idx="11">
                  <c:v>-65.400000000000006</c:v>
                </c:pt>
                <c:pt idx="12">
                  <c:v>9.66</c:v>
                </c:pt>
                <c:pt idx="13">
                  <c:v>85.197000000000003</c:v>
                </c:pt>
                <c:pt idx="14">
                  <c:v>52.534999999999997</c:v>
                </c:pt>
              </c:numCache>
            </c:numRef>
          </c:val>
          <c:smooth val="0"/>
          <c:extLst>
            <c:ext xmlns:c16="http://schemas.microsoft.com/office/drawing/2014/chart" uri="{C3380CC4-5D6E-409C-BE32-E72D297353CC}">
              <c16:uniqueId val="{00000001-8FAC-433C-A93E-67AC61E79152}"/>
            </c:ext>
          </c:extLst>
        </c:ser>
        <c:ser>
          <c:idx val="0"/>
          <c:order val="2"/>
          <c:tx>
            <c:strRef>
              <c:f>'1974-1989'!$Y$2</c:f>
              <c:strCache>
                <c:ptCount val="1"/>
                <c:pt idx="0">
                  <c:v>Long run</c:v>
                </c:pt>
              </c:strCache>
            </c:strRef>
          </c:tx>
          <c:spPr>
            <a:ln w="38100">
              <a:solidFill>
                <a:schemeClr val="accent6">
                  <a:lumMod val="75000"/>
                </a:schemeClr>
              </a:solidFill>
            </a:ln>
          </c:spPr>
          <c:marker>
            <c:symbol val="none"/>
          </c:marker>
          <c:cat>
            <c:numRef>
              <c:f>'1974-1989'!$A$17:$A$31</c:f>
              <c:numCache>
                <c:formatCode>General</c:formatCode>
                <c:ptCount val="15"/>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numCache>
            </c:numRef>
          </c:cat>
          <c:val>
            <c:numRef>
              <c:f>'1974-1989'!$Y$17:$Y$31</c:f>
              <c:numCache>
                <c:formatCode>#,##0</c:formatCode>
                <c:ptCount val="15"/>
                <c:pt idx="0">
                  <c:v>42.317999999999998</c:v>
                </c:pt>
                <c:pt idx="1">
                  <c:v>61.295999999999999</c:v>
                </c:pt>
                <c:pt idx="2">
                  <c:v>55.033000000000001</c:v>
                </c:pt>
                <c:pt idx="3">
                  <c:v>54.621000000000002</c:v>
                </c:pt>
                <c:pt idx="4">
                  <c:v>121</c:v>
                </c:pt>
                <c:pt idx="5">
                  <c:v>126</c:v>
                </c:pt>
                <c:pt idx="6">
                  <c:v>92.787999999999997</c:v>
                </c:pt>
                <c:pt idx="7">
                  <c:v>116.4</c:v>
                </c:pt>
                <c:pt idx="8">
                  <c:v>193.9</c:v>
                </c:pt>
                <c:pt idx="9">
                  <c:v>147.69999999999999</c:v>
                </c:pt>
                <c:pt idx="10">
                  <c:v>83.35</c:v>
                </c:pt>
                <c:pt idx="11">
                  <c:v>11.5</c:v>
                </c:pt>
                <c:pt idx="12">
                  <c:v>73.552000000000007</c:v>
                </c:pt>
                <c:pt idx="13">
                  <c:v>33.906999999999996</c:v>
                </c:pt>
                <c:pt idx="14">
                  <c:v>-29.954000000000001</c:v>
                </c:pt>
              </c:numCache>
            </c:numRef>
          </c:val>
          <c:smooth val="0"/>
          <c:extLst>
            <c:ext xmlns:c16="http://schemas.microsoft.com/office/drawing/2014/chart" uri="{C3380CC4-5D6E-409C-BE32-E72D297353CC}">
              <c16:uniqueId val="{00000002-8FAC-433C-A93E-67AC61E79152}"/>
            </c:ext>
          </c:extLst>
        </c:ser>
        <c:ser>
          <c:idx val="3"/>
          <c:order val="3"/>
          <c:tx>
            <c:strRef>
              <c:f>'1974-1989'!$AA$2</c:f>
              <c:strCache>
                <c:ptCount val="1"/>
                <c:pt idx="0">
                  <c:v>Binationals</c:v>
                </c:pt>
              </c:strCache>
            </c:strRef>
          </c:tx>
          <c:spPr>
            <a:ln w="38100">
              <a:solidFill>
                <a:srgbClr val="00B0F0"/>
              </a:solidFill>
            </a:ln>
          </c:spPr>
          <c:marker>
            <c:symbol val="none"/>
          </c:marker>
          <c:cat>
            <c:numRef>
              <c:f>'1974-1989'!$A$17:$A$31</c:f>
              <c:numCache>
                <c:formatCode>General</c:formatCode>
                <c:ptCount val="15"/>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numCache>
            </c:numRef>
          </c:cat>
          <c:val>
            <c:numRef>
              <c:f>'1974-1989'!$AA$17:$AA$31</c:f>
              <c:numCache>
                <c:formatCode>#,##0</c:formatCode>
                <c:ptCount val="15"/>
                <c:pt idx="0">
                  <c:v>1.492</c:v>
                </c:pt>
                <c:pt idx="1">
                  <c:v>45.101999999999997</c:v>
                </c:pt>
                <c:pt idx="2">
                  <c:v>76.673000000000002</c:v>
                </c:pt>
                <c:pt idx="3">
                  <c:v>148.976</c:v>
                </c:pt>
                <c:pt idx="4">
                  <c:v>221.95599999999999</c:v>
                </c:pt>
                <c:pt idx="5">
                  <c:v>148.99099999999999</c:v>
                </c:pt>
                <c:pt idx="6">
                  <c:v>216.8</c:v>
                </c:pt>
                <c:pt idx="7">
                  <c:v>236.8</c:v>
                </c:pt>
                <c:pt idx="8">
                  <c:v>171.529</c:v>
                </c:pt>
                <c:pt idx="9">
                  <c:v>116.09399999999999</c:v>
                </c:pt>
                <c:pt idx="10">
                  <c:v>94.4</c:v>
                </c:pt>
                <c:pt idx="11">
                  <c:v>51.66</c:v>
                </c:pt>
                <c:pt idx="12">
                  <c:v>45.822000000000003</c:v>
                </c:pt>
                <c:pt idx="13">
                  <c:v>70.965000000000003</c:v>
                </c:pt>
                <c:pt idx="14">
                  <c:v>64</c:v>
                </c:pt>
              </c:numCache>
            </c:numRef>
          </c:val>
          <c:smooth val="0"/>
          <c:extLst>
            <c:ext xmlns:c16="http://schemas.microsoft.com/office/drawing/2014/chart" uri="{C3380CC4-5D6E-409C-BE32-E72D297353CC}">
              <c16:uniqueId val="{00000003-8FAC-433C-A93E-67AC61E79152}"/>
            </c:ext>
          </c:extLst>
        </c:ser>
        <c:dLbls>
          <c:showLegendKey val="0"/>
          <c:showVal val="0"/>
          <c:showCatName val="0"/>
          <c:showSerName val="0"/>
          <c:showPercent val="0"/>
          <c:showBubbleSize val="0"/>
        </c:dLbls>
        <c:smooth val="0"/>
        <c:axId val="2129320816"/>
        <c:axId val="2129323872"/>
      </c:lineChart>
      <c:catAx>
        <c:axId val="2129320816"/>
        <c:scaling>
          <c:orientation val="minMax"/>
        </c:scaling>
        <c:delete val="0"/>
        <c:axPos val="b"/>
        <c:numFmt formatCode="General" sourceLinked="1"/>
        <c:majorTickMark val="out"/>
        <c:minorTickMark val="none"/>
        <c:tickLblPos val="nextTo"/>
        <c:crossAx val="2129323872"/>
        <c:crosses val="autoZero"/>
        <c:auto val="1"/>
        <c:lblAlgn val="ctr"/>
        <c:lblOffset val="100"/>
        <c:noMultiLvlLbl val="0"/>
      </c:catAx>
      <c:valAx>
        <c:axId val="2129323872"/>
        <c:scaling>
          <c:orientation val="minMax"/>
          <c:min val="-200"/>
        </c:scaling>
        <c:delete val="0"/>
        <c:axPos val="l"/>
        <c:majorGridlines>
          <c:spPr>
            <a:ln>
              <a:noFill/>
            </a:ln>
          </c:spPr>
        </c:majorGridlines>
        <c:numFmt formatCode="#,##0" sourceLinked="1"/>
        <c:majorTickMark val="out"/>
        <c:minorTickMark val="none"/>
        <c:tickLblPos val="nextTo"/>
        <c:crossAx val="2129320816"/>
        <c:crosses val="autoZero"/>
        <c:crossBetween val="between"/>
      </c:valAx>
    </c:plotArea>
    <c:legend>
      <c:legendPos val="r"/>
      <c:layout>
        <c:manualLayout>
          <c:xMode val="edge"/>
          <c:yMode val="edge"/>
          <c:x val="5.9364459580145301E-2"/>
          <c:y val="3.8719635520307299E-2"/>
          <c:w val="0.48903677181849903"/>
          <c:h val="0.10290443537477301"/>
        </c:manualLayout>
      </c:layout>
      <c:overlay val="0"/>
    </c:legend>
    <c:plotVisOnly val="1"/>
    <c:dispBlanksAs val="zero"/>
    <c:showDLblsOverMax val="0"/>
  </c:chart>
  <c:txPr>
    <a:bodyPr/>
    <a:lstStyle/>
    <a:p>
      <a:pPr>
        <a:defRPr sz="1400"/>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893640355217002E-2"/>
          <c:y val="3.4772997202416403E-2"/>
          <c:w val="0.94484411132607704"/>
          <c:h val="0.94298197156645003"/>
        </c:manualLayout>
      </c:layout>
      <c:lineChart>
        <c:grouping val="standard"/>
        <c:varyColors val="0"/>
        <c:ser>
          <c:idx val="1"/>
          <c:order val="0"/>
          <c:tx>
            <c:strRef>
              <c:f>'1974-1989'!$P$2</c:f>
              <c:strCache>
                <c:ptCount val="1"/>
                <c:pt idx="0">
                  <c:v>Balance of Trade</c:v>
                </c:pt>
              </c:strCache>
            </c:strRef>
          </c:tx>
          <c:spPr>
            <a:ln w="38100">
              <a:solidFill>
                <a:schemeClr val="accent6">
                  <a:lumMod val="75000"/>
                </a:schemeClr>
              </a:solidFill>
            </a:ln>
          </c:spPr>
          <c:marker>
            <c:symbol val="none"/>
          </c:marker>
          <c:cat>
            <c:numRef>
              <c:f>'1974-1989'!$A$17:$A$32</c:f>
              <c:numCache>
                <c:formatCode>General</c:formatCode>
                <c:ptCount val="1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numCache>
            </c:numRef>
          </c:cat>
          <c:val>
            <c:numRef>
              <c:f>'1974-1989'!$P$17:$P$32</c:f>
              <c:numCache>
                <c:formatCode>#,##0</c:formatCode>
                <c:ptCount val="16"/>
                <c:pt idx="0">
                  <c:v>-25.286999999999999</c:v>
                </c:pt>
                <c:pt idx="1">
                  <c:v>-50.896999999999998</c:v>
                </c:pt>
                <c:pt idx="2">
                  <c:v>-53.957000000000001</c:v>
                </c:pt>
                <c:pt idx="3">
                  <c:v>-80.69</c:v>
                </c:pt>
                <c:pt idx="4">
                  <c:v>-150.53899999999999</c:v>
                </c:pt>
                <c:pt idx="5">
                  <c:v>-192.624</c:v>
                </c:pt>
                <c:pt idx="6">
                  <c:v>-275.04000000000002</c:v>
                </c:pt>
                <c:pt idx="7">
                  <c:v>-373.92399999999998</c:v>
                </c:pt>
                <c:pt idx="8">
                  <c:v>-315.08699999999999</c:v>
                </c:pt>
                <c:pt idx="9">
                  <c:v>-253.858</c:v>
                </c:pt>
                <c:pt idx="10">
                  <c:v>-201.95699999999999</c:v>
                </c:pt>
                <c:pt idx="11">
                  <c:v>-107.06100000000001</c:v>
                </c:pt>
                <c:pt idx="12">
                  <c:v>-162.43700000000001</c:v>
                </c:pt>
                <c:pt idx="13">
                  <c:v>-97.21</c:v>
                </c:pt>
                <c:pt idx="14">
                  <c:v>68.745999999999995</c:v>
                </c:pt>
              </c:numCache>
            </c:numRef>
          </c:val>
          <c:smooth val="0"/>
          <c:extLst>
            <c:ext xmlns:c16="http://schemas.microsoft.com/office/drawing/2014/chart" uri="{C3380CC4-5D6E-409C-BE32-E72D297353CC}">
              <c16:uniqueId val="{00000000-BF8E-411E-BF3F-E6921D19E722}"/>
            </c:ext>
          </c:extLst>
        </c:ser>
        <c:ser>
          <c:idx val="0"/>
          <c:order val="1"/>
          <c:tx>
            <c:strRef>
              <c:f>'1974-1989'!$N$2</c:f>
              <c:strCache>
                <c:ptCount val="1"/>
                <c:pt idx="0">
                  <c:v>Current Account</c:v>
                </c:pt>
              </c:strCache>
            </c:strRef>
          </c:tx>
          <c:spPr>
            <a:ln w="38100">
              <a:solidFill>
                <a:srgbClr val="00B050"/>
              </a:solidFill>
            </a:ln>
          </c:spPr>
          <c:marker>
            <c:symbol val="none"/>
          </c:marker>
          <c:cat>
            <c:numRef>
              <c:f>'1974-1989'!$A$17:$A$32</c:f>
              <c:numCache>
                <c:formatCode>General</c:formatCode>
                <c:ptCount val="1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numCache>
            </c:numRef>
          </c:cat>
          <c:val>
            <c:numRef>
              <c:f>'1974-1989'!$N$17:$N$31</c:f>
              <c:numCache>
                <c:formatCode>#,##0</c:formatCode>
                <c:ptCount val="15"/>
                <c:pt idx="0">
                  <c:v>-58.052999999999997</c:v>
                </c:pt>
                <c:pt idx="1">
                  <c:v>-103.592</c:v>
                </c:pt>
                <c:pt idx="2">
                  <c:v>-109.432</c:v>
                </c:pt>
                <c:pt idx="3">
                  <c:v>-134.65899999999999</c:v>
                </c:pt>
                <c:pt idx="4">
                  <c:v>-118.63800000000001</c:v>
                </c:pt>
                <c:pt idx="5">
                  <c:v>-213.37200000000001</c:v>
                </c:pt>
                <c:pt idx="6">
                  <c:v>-286.714</c:v>
                </c:pt>
                <c:pt idx="7">
                  <c:v>-380.27699999999999</c:v>
                </c:pt>
                <c:pt idx="8">
                  <c:v>-392.80500000000001</c:v>
                </c:pt>
                <c:pt idx="9">
                  <c:v>-253.584</c:v>
                </c:pt>
                <c:pt idx="10">
                  <c:v>-322.47899999999998</c:v>
                </c:pt>
                <c:pt idx="11">
                  <c:v>-185.39400000000001</c:v>
                </c:pt>
                <c:pt idx="12">
                  <c:v>-369.97300000000001</c:v>
                </c:pt>
                <c:pt idx="13">
                  <c:v>-160.37100000000001</c:v>
                </c:pt>
                <c:pt idx="14">
                  <c:v>-160.10900000000001</c:v>
                </c:pt>
              </c:numCache>
            </c:numRef>
          </c:val>
          <c:smooth val="0"/>
          <c:extLst>
            <c:ext xmlns:c16="http://schemas.microsoft.com/office/drawing/2014/chart" uri="{C3380CC4-5D6E-409C-BE32-E72D297353CC}">
              <c16:uniqueId val="{00000001-BF8E-411E-BF3F-E6921D19E722}"/>
            </c:ext>
          </c:extLst>
        </c:ser>
        <c:dLbls>
          <c:showLegendKey val="0"/>
          <c:showVal val="0"/>
          <c:showCatName val="0"/>
          <c:showSerName val="0"/>
          <c:showPercent val="0"/>
          <c:showBubbleSize val="0"/>
        </c:dLbls>
        <c:smooth val="0"/>
        <c:axId val="2128261568"/>
        <c:axId val="2129342800"/>
      </c:lineChart>
      <c:catAx>
        <c:axId val="2128261568"/>
        <c:scaling>
          <c:orientation val="minMax"/>
        </c:scaling>
        <c:delete val="0"/>
        <c:axPos val="b"/>
        <c:numFmt formatCode="General" sourceLinked="1"/>
        <c:majorTickMark val="none"/>
        <c:minorTickMark val="cross"/>
        <c:tickLblPos val="nextTo"/>
        <c:txPr>
          <a:bodyPr rot="-5400000" vert="horz"/>
          <a:lstStyle/>
          <a:p>
            <a:pPr>
              <a:defRPr/>
            </a:pPr>
            <a:endParaRPr lang="en-US"/>
          </a:p>
        </c:txPr>
        <c:crossAx val="2129342800"/>
        <c:crosses val="autoZero"/>
        <c:auto val="1"/>
        <c:lblAlgn val="ctr"/>
        <c:lblOffset val="100"/>
        <c:noMultiLvlLbl val="0"/>
      </c:catAx>
      <c:valAx>
        <c:axId val="2129342800"/>
        <c:scaling>
          <c:orientation val="minMax"/>
          <c:max val="70"/>
          <c:min val="-400"/>
        </c:scaling>
        <c:delete val="0"/>
        <c:axPos val="l"/>
        <c:majorGridlines>
          <c:spPr>
            <a:ln>
              <a:solidFill>
                <a:schemeClr val="bg1"/>
              </a:solidFill>
            </a:ln>
          </c:spPr>
        </c:majorGridlines>
        <c:numFmt formatCode="#,##0" sourceLinked="1"/>
        <c:majorTickMark val="out"/>
        <c:minorTickMark val="none"/>
        <c:tickLblPos val="nextTo"/>
        <c:crossAx val="2128261568"/>
        <c:crosses val="autoZero"/>
        <c:crossBetween val="between"/>
      </c:valAx>
    </c:plotArea>
    <c:legend>
      <c:legendPos val="t"/>
      <c:overlay val="0"/>
    </c:legend>
    <c:plotVisOnly val="1"/>
    <c:dispBlanksAs val="gap"/>
    <c:showDLblsOverMax val="0"/>
  </c:chart>
  <c:txPr>
    <a:bodyPr/>
    <a:lstStyle/>
    <a:p>
      <a:pPr>
        <a:defRPr sz="1400"/>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5408546408197399E-2"/>
          <c:y val="3.4890076784299E-2"/>
          <c:w val="0.94094421952510598"/>
          <c:h val="0.93021984643140199"/>
        </c:manualLayout>
      </c:layout>
      <c:lineChart>
        <c:grouping val="standard"/>
        <c:varyColors val="0"/>
        <c:ser>
          <c:idx val="1"/>
          <c:order val="0"/>
          <c:tx>
            <c:strRef>
              <c:f>'1974-1989'!$Q$2</c:f>
              <c:strCache>
                <c:ptCount val="1"/>
                <c:pt idx="0">
                  <c:v>Balance of Tradel/GDP</c:v>
                </c:pt>
              </c:strCache>
            </c:strRef>
          </c:tx>
          <c:spPr>
            <a:ln w="38100">
              <a:solidFill>
                <a:schemeClr val="accent6">
                  <a:lumMod val="75000"/>
                </a:schemeClr>
              </a:solidFill>
            </a:ln>
          </c:spPr>
          <c:marker>
            <c:symbol val="none"/>
          </c:marker>
          <c:cat>
            <c:numRef>
              <c:f>'1974-1989'!$A$17:$A$32</c:f>
              <c:numCache>
                <c:formatCode>General</c:formatCode>
                <c:ptCount val="1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numCache>
            </c:numRef>
          </c:cat>
          <c:val>
            <c:numRef>
              <c:f>'1974-1989'!$Q$17:$Q$31</c:f>
              <c:numCache>
                <c:formatCode>0%</c:formatCode>
                <c:ptCount val="15"/>
                <c:pt idx="0">
                  <c:v>-2.1079192992758643E-2</c:v>
                </c:pt>
                <c:pt idx="1">
                  <c:v>-3.7648789825316602E-2</c:v>
                </c:pt>
                <c:pt idx="2">
                  <c:v>-3.5018361261314038E-2</c:v>
                </c:pt>
                <c:pt idx="3">
                  <c:v>-4.2194085326154193E-2</c:v>
                </c:pt>
                <c:pt idx="4">
                  <c:v>-6.4050177638124303E-2</c:v>
                </c:pt>
                <c:pt idx="5">
                  <c:v>-6.1440634374590609E-2</c:v>
                </c:pt>
                <c:pt idx="6">
                  <c:v>-6.7167943619232257E-2</c:v>
                </c:pt>
                <c:pt idx="7">
                  <c:v>-7.1639581517352904E-2</c:v>
                </c:pt>
                <c:pt idx="8">
                  <c:v>-6.2178610514131427E-2</c:v>
                </c:pt>
                <c:pt idx="9">
                  <c:v>-4.8469932156117848E-2</c:v>
                </c:pt>
                <c:pt idx="10">
                  <c:v>-4.9715898248547101E-2</c:v>
                </c:pt>
                <c:pt idx="11">
                  <c:v>-3.6117810109753651E-2</c:v>
                </c:pt>
                <c:pt idx="12">
                  <c:v>-4.7187440493068195E-2</c:v>
                </c:pt>
                <c:pt idx="13">
                  <c:v>-2.5728390694919816E-2</c:v>
                </c:pt>
                <c:pt idx="14">
                  <c:v>1.6838672167247982E-2</c:v>
                </c:pt>
              </c:numCache>
            </c:numRef>
          </c:val>
          <c:smooth val="0"/>
          <c:extLst>
            <c:ext xmlns:c16="http://schemas.microsoft.com/office/drawing/2014/chart" uri="{C3380CC4-5D6E-409C-BE32-E72D297353CC}">
              <c16:uniqueId val="{00000000-36F4-4DFD-BB63-0F9E9F4AB791}"/>
            </c:ext>
          </c:extLst>
        </c:ser>
        <c:ser>
          <c:idx val="0"/>
          <c:order val="1"/>
          <c:tx>
            <c:strRef>
              <c:f>'1974-1989'!$O$2</c:f>
              <c:strCache>
                <c:ptCount val="1"/>
                <c:pt idx="0">
                  <c:v>Current Account/GDP</c:v>
                </c:pt>
              </c:strCache>
            </c:strRef>
          </c:tx>
          <c:spPr>
            <a:ln w="38100">
              <a:solidFill>
                <a:srgbClr val="00B050"/>
              </a:solidFill>
            </a:ln>
          </c:spPr>
          <c:marker>
            <c:symbol val="none"/>
          </c:marker>
          <c:cat>
            <c:numRef>
              <c:f>'1974-1989'!$A$17:$A$32</c:f>
              <c:numCache>
                <c:formatCode>General</c:formatCode>
                <c:ptCount val="1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numCache>
            </c:numRef>
          </c:cat>
          <c:val>
            <c:numRef>
              <c:f>'1974-1989'!$O$17:$O$31</c:f>
              <c:numCache>
                <c:formatCode>0%</c:formatCode>
                <c:ptCount val="15"/>
                <c:pt idx="0">
                  <c:v>-4.8392865535991515E-2</c:v>
                </c:pt>
                <c:pt idx="1">
                  <c:v>-7.662757010401787E-2</c:v>
                </c:pt>
                <c:pt idx="2">
                  <c:v>-7.1021912069761439E-2</c:v>
                </c:pt>
                <c:pt idx="3">
                  <c:v>-7.041533443964057E-2</c:v>
                </c:pt>
                <c:pt idx="4">
                  <c:v>-5.0477185145588792E-2</c:v>
                </c:pt>
                <c:pt idx="5">
                  <c:v>-6.8058554685683753E-2</c:v>
                </c:pt>
                <c:pt idx="6">
                  <c:v>-7.0018869207550016E-2</c:v>
                </c:pt>
                <c:pt idx="7">
                  <c:v>-7.2856743992561077E-2</c:v>
                </c:pt>
                <c:pt idx="8">
                  <c:v>-7.7515318318443466E-2</c:v>
                </c:pt>
                <c:pt idx="9">
                  <c:v>-4.8417616446505482E-2</c:v>
                </c:pt>
                <c:pt idx="10">
                  <c:v>-7.9384884660067351E-2</c:v>
                </c:pt>
                <c:pt idx="11">
                  <c:v>-6.2544019647562302E-2</c:v>
                </c:pt>
                <c:pt idx="12">
                  <c:v>-0.10747599944311897</c:v>
                </c:pt>
                <c:pt idx="13">
                  <c:v>-4.24450956088364E-2</c:v>
                </c:pt>
                <c:pt idx="14">
                  <c:v>-3.9217161173390559E-2</c:v>
                </c:pt>
              </c:numCache>
            </c:numRef>
          </c:val>
          <c:smooth val="0"/>
          <c:extLst>
            <c:ext xmlns:c16="http://schemas.microsoft.com/office/drawing/2014/chart" uri="{C3380CC4-5D6E-409C-BE32-E72D297353CC}">
              <c16:uniqueId val="{00000001-36F4-4DFD-BB63-0F9E9F4AB791}"/>
            </c:ext>
          </c:extLst>
        </c:ser>
        <c:dLbls>
          <c:showLegendKey val="0"/>
          <c:showVal val="0"/>
          <c:showCatName val="0"/>
          <c:showSerName val="0"/>
          <c:showPercent val="0"/>
          <c:showBubbleSize val="0"/>
        </c:dLbls>
        <c:smooth val="0"/>
        <c:axId val="2129364416"/>
        <c:axId val="2128275664"/>
      </c:lineChart>
      <c:catAx>
        <c:axId val="2129364416"/>
        <c:scaling>
          <c:orientation val="minMax"/>
        </c:scaling>
        <c:delete val="0"/>
        <c:axPos val="b"/>
        <c:numFmt formatCode="General" sourceLinked="1"/>
        <c:majorTickMark val="out"/>
        <c:minorTickMark val="none"/>
        <c:tickLblPos val="nextTo"/>
        <c:crossAx val="2128275664"/>
        <c:crosses val="autoZero"/>
        <c:auto val="1"/>
        <c:lblAlgn val="ctr"/>
        <c:lblOffset val="100"/>
        <c:noMultiLvlLbl val="0"/>
      </c:catAx>
      <c:valAx>
        <c:axId val="2128275664"/>
        <c:scaling>
          <c:orientation val="minMax"/>
          <c:max val="0.02"/>
        </c:scaling>
        <c:delete val="0"/>
        <c:axPos val="l"/>
        <c:majorGridlines>
          <c:spPr>
            <a:ln>
              <a:solidFill>
                <a:schemeClr val="bg1"/>
              </a:solidFill>
            </a:ln>
          </c:spPr>
        </c:majorGridlines>
        <c:numFmt formatCode="0%" sourceLinked="1"/>
        <c:majorTickMark val="out"/>
        <c:minorTickMark val="none"/>
        <c:tickLblPos val="nextTo"/>
        <c:crossAx val="2129364416"/>
        <c:crosses val="autoZero"/>
        <c:crossBetween val="between"/>
      </c:valAx>
    </c:plotArea>
    <c:legend>
      <c:legendPos val="t"/>
      <c:overlay val="0"/>
    </c:legend>
    <c:plotVisOnly val="1"/>
    <c:dispBlanksAs val="gap"/>
    <c:showDLblsOverMax val="0"/>
  </c:chart>
  <c:txPr>
    <a:bodyPr/>
    <a:lstStyle/>
    <a:p>
      <a:pPr>
        <a:defRPr sz="1400"/>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44988503607199E-2"/>
          <c:y val="3.81195727377645E-2"/>
          <c:w val="0.90779878052119301"/>
          <c:h val="0.92066799846185199"/>
        </c:manualLayout>
      </c:layout>
      <c:lineChart>
        <c:grouping val="standard"/>
        <c:varyColors val="0"/>
        <c:ser>
          <c:idx val="2"/>
          <c:order val="0"/>
          <c:tx>
            <c:strRef>
              <c:f>'1974-1989'!$P$2</c:f>
              <c:strCache>
                <c:ptCount val="1"/>
                <c:pt idx="0">
                  <c:v>Balance of Trade</c:v>
                </c:pt>
              </c:strCache>
            </c:strRef>
          </c:tx>
          <c:spPr>
            <a:ln w="38100">
              <a:solidFill>
                <a:srgbClr val="FF0000"/>
              </a:solidFill>
            </a:ln>
          </c:spPr>
          <c:marker>
            <c:symbol val="none"/>
          </c:marker>
          <c:val>
            <c:numRef>
              <c:f>'1974-1989'!$P$17:$P$31</c:f>
              <c:numCache>
                <c:formatCode>#,##0</c:formatCode>
                <c:ptCount val="15"/>
                <c:pt idx="0">
                  <c:v>-25.286999999999999</c:v>
                </c:pt>
                <c:pt idx="1">
                  <c:v>-50.896999999999998</c:v>
                </c:pt>
                <c:pt idx="2">
                  <c:v>-53.957000000000001</c:v>
                </c:pt>
                <c:pt idx="3">
                  <c:v>-80.69</c:v>
                </c:pt>
                <c:pt idx="4">
                  <c:v>-150.53899999999999</c:v>
                </c:pt>
                <c:pt idx="5">
                  <c:v>-192.624</c:v>
                </c:pt>
                <c:pt idx="6">
                  <c:v>-275.04000000000002</c:v>
                </c:pt>
                <c:pt idx="7">
                  <c:v>-373.92399999999998</c:v>
                </c:pt>
                <c:pt idx="8">
                  <c:v>-315.08699999999999</c:v>
                </c:pt>
                <c:pt idx="9">
                  <c:v>-253.858</c:v>
                </c:pt>
                <c:pt idx="10">
                  <c:v>-201.95699999999999</c:v>
                </c:pt>
                <c:pt idx="11">
                  <c:v>-107.06100000000001</c:v>
                </c:pt>
                <c:pt idx="12">
                  <c:v>-162.43700000000001</c:v>
                </c:pt>
                <c:pt idx="13">
                  <c:v>-97.21</c:v>
                </c:pt>
                <c:pt idx="14">
                  <c:v>68.745999999999995</c:v>
                </c:pt>
              </c:numCache>
            </c:numRef>
          </c:val>
          <c:smooth val="0"/>
          <c:extLst>
            <c:ext xmlns:c16="http://schemas.microsoft.com/office/drawing/2014/chart" uri="{C3380CC4-5D6E-409C-BE32-E72D297353CC}">
              <c16:uniqueId val="{00000000-CEF0-4E37-AEB9-9D0CB341DB80}"/>
            </c:ext>
          </c:extLst>
        </c:ser>
        <c:dLbls>
          <c:showLegendKey val="0"/>
          <c:showVal val="0"/>
          <c:showCatName val="0"/>
          <c:showSerName val="0"/>
          <c:showPercent val="0"/>
          <c:showBubbleSize val="0"/>
        </c:dLbls>
        <c:marker val="1"/>
        <c:smooth val="0"/>
        <c:axId val="2129392656"/>
        <c:axId val="2129395536"/>
      </c:lineChart>
      <c:lineChart>
        <c:grouping val="standard"/>
        <c:varyColors val="0"/>
        <c:ser>
          <c:idx val="3"/>
          <c:order val="1"/>
          <c:tx>
            <c:strRef>
              <c:f>'1974-1989'!$AK$2</c:f>
              <c:strCache>
                <c:ptCount val="1"/>
                <c:pt idx="0">
                  <c:v>Tipo de Cambio Real (TCR) G/US$</c:v>
                </c:pt>
              </c:strCache>
            </c:strRef>
          </c:tx>
          <c:spPr>
            <a:ln w="38100">
              <a:solidFill>
                <a:sysClr val="windowText" lastClr="000000"/>
              </a:solidFill>
            </a:ln>
          </c:spPr>
          <c:marker>
            <c:symbol val="none"/>
          </c:marker>
          <c:val>
            <c:numRef>
              <c:f>'1974-1989'!$AK$17:$AK$31</c:f>
              <c:numCache>
                <c:formatCode>#,##0</c:formatCode>
                <c:ptCount val="15"/>
                <c:pt idx="0">
                  <c:v>52.834090844432559</c:v>
                </c:pt>
                <c:pt idx="1">
                  <c:v>54.567451493151921</c:v>
                </c:pt>
                <c:pt idx="2">
                  <c:v>55.879559615475415</c:v>
                </c:pt>
                <c:pt idx="3">
                  <c:v>54.417035965871705</c:v>
                </c:pt>
                <c:pt idx="4">
                  <c:v>53.023286038494533</c:v>
                </c:pt>
                <c:pt idx="5">
                  <c:v>45.969182418670556</c:v>
                </c:pt>
                <c:pt idx="6">
                  <c:v>42.596883663247574</c:v>
                </c:pt>
                <c:pt idx="7">
                  <c:v>40.835167640519785</c:v>
                </c:pt>
                <c:pt idx="8">
                  <c:v>39.777348414294742</c:v>
                </c:pt>
                <c:pt idx="9">
                  <c:v>36.371781765250063</c:v>
                </c:pt>
                <c:pt idx="10">
                  <c:v>57.590479255031767</c:v>
                </c:pt>
                <c:pt idx="11">
                  <c:v>46.393871946193933</c:v>
                </c:pt>
                <c:pt idx="12">
                  <c:v>46.326781597341608</c:v>
                </c:pt>
                <c:pt idx="13">
                  <c:v>38.813946916029067</c:v>
                </c:pt>
                <c:pt idx="14">
                  <c:v>40.422266804144485</c:v>
                </c:pt>
              </c:numCache>
            </c:numRef>
          </c:val>
          <c:smooth val="0"/>
          <c:extLst>
            <c:ext xmlns:c16="http://schemas.microsoft.com/office/drawing/2014/chart" uri="{C3380CC4-5D6E-409C-BE32-E72D297353CC}">
              <c16:uniqueId val="{00000001-CEF0-4E37-AEB9-9D0CB341DB80}"/>
            </c:ext>
          </c:extLst>
        </c:ser>
        <c:dLbls>
          <c:showLegendKey val="0"/>
          <c:showVal val="0"/>
          <c:showCatName val="0"/>
          <c:showSerName val="0"/>
          <c:showPercent val="0"/>
          <c:showBubbleSize val="0"/>
        </c:dLbls>
        <c:marker val="1"/>
        <c:smooth val="0"/>
        <c:axId val="2128288608"/>
        <c:axId val="2128285856"/>
      </c:lineChart>
      <c:catAx>
        <c:axId val="2129392656"/>
        <c:scaling>
          <c:orientation val="minMax"/>
        </c:scaling>
        <c:delete val="0"/>
        <c:axPos val="b"/>
        <c:numFmt formatCode="General" sourceLinked="1"/>
        <c:majorTickMark val="out"/>
        <c:minorTickMark val="none"/>
        <c:tickLblPos val="nextTo"/>
        <c:crossAx val="2129395536"/>
        <c:crosses val="autoZero"/>
        <c:auto val="1"/>
        <c:lblAlgn val="ctr"/>
        <c:lblOffset val="100"/>
        <c:noMultiLvlLbl val="0"/>
      </c:catAx>
      <c:valAx>
        <c:axId val="2129395536"/>
        <c:scaling>
          <c:orientation val="minMax"/>
        </c:scaling>
        <c:delete val="0"/>
        <c:axPos val="l"/>
        <c:majorGridlines>
          <c:spPr>
            <a:ln>
              <a:noFill/>
            </a:ln>
          </c:spPr>
        </c:majorGridlines>
        <c:numFmt formatCode="#,##0" sourceLinked="1"/>
        <c:majorTickMark val="out"/>
        <c:minorTickMark val="none"/>
        <c:tickLblPos val="nextTo"/>
        <c:crossAx val="2129392656"/>
        <c:crosses val="autoZero"/>
        <c:crossBetween val="between"/>
      </c:valAx>
      <c:valAx>
        <c:axId val="2128285856"/>
        <c:scaling>
          <c:orientation val="minMax"/>
        </c:scaling>
        <c:delete val="0"/>
        <c:axPos val="r"/>
        <c:numFmt formatCode="#,##0" sourceLinked="1"/>
        <c:majorTickMark val="out"/>
        <c:minorTickMark val="none"/>
        <c:tickLblPos val="nextTo"/>
        <c:crossAx val="2128288608"/>
        <c:crosses val="max"/>
        <c:crossBetween val="between"/>
      </c:valAx>
      <c:catAx>
        <c:axId val="2128288608"/>
        <c:scaling>
          <c:orientation val="minMax"/>
        </c:scaling>
        <c:delete val="1"/>
        <c:axPos val="b"/>
        <c:majorTickMark val="out"/>
        <c:minorTickMark val="none"/>
        <c:tickLblPos val="nextTo"/>
        <c:crossAx val="2128285856"/>
        <c:crosses val="autoZero"/>
        <c:auto val="1"/>
        <c:lblAlgn val="ctr"/>
        <c:lblOffset val="100"/>
        <c:noMultiLvlLbl val="0"/>
      </c:catAx>
    </c:plotArea>
    <c:legend>
      <c:legendPos val="r"/>
      <c:layout>
        <c:manualLayout>
          <c:xMode val="edge"/>
          <c:yMode val="edge"/>
          <c:x val="7.3432438274919996E-3"/>
          <c:y val="2.8014944096017801E-2"/>
          <c:w val="0.333002665820196"/>
          <c:h val="0.26058505634234003"/>
        </c:manualLayout>
      </c:layout>
      <c:overlay val="0"/>
    </c:legend>
    <c:plotVisOnly val="1"/>
    <c:dispBlanksAs val="zero"/>
    <c:showDLblsOverMax val="0"/>
  </c:chart>
  <c:txPr>
    <a:bodyPr/>
    <a:lstStyle/>
    <a:p>
      <a:pPr>
        <a:defRPr sz="1400"/>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44988503607199E-2"/>
          <c:y val="3.81195727377645E-2"/>
          <c:w val="0.90779878052119301"/>
          <c:h val="0.92066799846185199"/>
        </c:manualLayout>
      </c:layout>
      <c:barChart>
        <c:barDir val="col"/>
        <c:grouping val="clustered"/>
        <c:varyColors val="0"/>
        <c:ser>
          <c:idx val="1"/>
          <c:order val="1"/>
          <c:tx>
            <c:strRef>
              <c:f>'1974-1989'!$U$2</c:f>
              <c:strCache>
                <c:ptCount val="1"/>
                <c:pt idx="0">
                  <c:v>Exports/GDP</c:v>
                </c:pt>
              </c:strCache>
            </c:strRef>
          </c:tx>
          <c:spPr>
            <a:solidFill>
              <a:srgbClr val="00B050"/>
            </a:solidFill>
            <a:effectLst/>
          </c:spPr>
          <c:invertIfNegative val="0"/>
          <c:cat>
            <c:numRef>
              <c:f>'1974-1989'!$A$17:$A$31</c:f>
              <c:numCache>
                <c:formatCode>General</c:formatCode>
                <c:ptCount val="15"/>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numCache>
            </c:numRef>
          </c:cat>
          <c:val>
            <c:numRef>
              <c:f>'1974-1989'!$U$17:$U$31</c:f>
              <c:numCache>
                <c:formatCode>0%</c:formatCode>
                <c:ptCount val="15"/>
                <c:pt idx="0">
                  <c:v>0.14418077978461347</c:v>
                </c:pt>
                <c:pt idx="1">
                  <c:v>0.13051733345242328</c:v>
                </c:pt>
                <c:pt idx="2">
                  <c:v>0.11833697053103318</c:v>
                </c:pt>
                <c:pt idx="3">
                  <c:v>0.14609486341365213</c:v>
                </c:pt>
                <c:pt idx="4">
                  <c:v>0.1197508864610542</c:v>
                </c:pt>
                <c:pt idx="5">
                  <c:v>0.12264619031900599</c:v>
                </c:pt>
                <c:pt idx="6">
                  <c:v>9.7753486066730372E-2</c:v>
                </c:pt>
                <c:pt idx="7">
                  <c:v>7.6345381094885298E-2</c:v>
                </c:pt>
                <c:pt idx="8">
                  <c:v>7.8180741755950092E-2</c:v>
                </c:pt>
                <c:pt idx="9">
                  <c:v>5.6814860639030684E-2</c:v>
                </c:pt>
                <c:pt idx="10">
                  <c:v>0.13250532383949284</c:v>
                </c:pt>
                <c:pt idx="11">
                  <c:v>0.20924519185281737</c:v>
                </c:pt>
                <c:pt idx="12">
                  <c:v>0.16657758817176285</c:v>
                </c:pt>
                <c:pt idx="13">
                  <c:v>0.25187753068415214</c:v>
                </c:pt>
                <c:pt idx="14">
                  <c:v>0.26896512507055442</c:v>
                </c:pt>
              </c:numCache>
            </c:numRef>
          </c:val>
          <c:extLst>
            <c:ext xmlns:c16="http://schemas.microsoft.com/office/drawing/2014/chart" uri="{C3380CC4-5D6E-409C-BE32-E72D297353CC}">
              <c16:uniqueId val="{00000000-CA06-4909-AB8A-4C48440CBD8A}"/>
            </c:ext>
          </c:extLst>
        </c:ser>
        <c:ser>
          <c:idx val="0"/>
          <c:order val="2"/>
          <c:tx>
            <c:strRef>
              <c:f>'1974-1989'!$W$2</c:f>
              <c:strCache>
                <c:ptCount val="1"/>
                <c:pt idx="0">
                  <c:v>Imports/GDP</c:v>
                </c:pt>
              </c:strCache>
            </c:strRef>
          </c:tx>
          <c:spPr>
            <a:solidFill>
              <a:schemeClr val="tx2">
                <a:lumMod val="60000"/>
                <a:lumOff val="40000"/>
              </a:schemeClr>
            </a:solidFill>
            <a:ln>
              <a:solidFill>
                <a:srgbClr val="00B0F0"/>
              </a:solidFill>
            </a:ln>
          </c:spPr>
          <c:invertIfNegative val="0"/>
          <c:cat>
            <c:numRef>
              <c:f>'1974-1989'!$A$17:$A$31</c:f>
              <c:numCache>
                <c:formatCode>General</c:formatCode>
                <c:ptCount val="15"/>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numCache>
            </c:numRef>
          </c:cat>
          <c:val>
            <c:numRef>
              <c:f>'1974-1989'!$W$17:$W$31</c:f>
              <c:numCache>
                <c:formatCode>0%</c:formatCode>
                <c:ptCount val="15"/>
                <c:pt idx="0">
                  <c:v>0.16525997277737212</c:v>
                </c:pt>
                <c:pt idx="1">
                  <c:v>0.16816612327773992</c:v>
                </c:pt>
                <c:pt idx="2">
                  <c:v>0.1533553317923472</c:v>
                </c:pt>
                <c:pt idx="3">
                  <c:v>0.18828894873980631</c:v>
                </c:pt>
                <c:pt idx="4">
                  <c:v>0.18380106409917851</c:v>
                </c:pt>
                <c:pt idx="5">
                  <c:v>0.18408682469359661</c:v>
                </c:pt>
                <c:pt idx="6">
                  <c:v>0.16492142968596263</c:v>
                </c:pt>
                <c:pt idx="7">
                  <c:v>0.1479849626122382</c:v>
                </c:pt>
                <c:pt idx="8">
                  <c:v>0.14035935227008153</c:v>
                </c:pt>
                <c:pt idx="9">
                  <c:v>0.10528479279514853</c:v>
                </c:pt>
                <c:pt idx="10">
                  <c:v>0.18222122208803995</c:v>
                </c:pt>
                <c:pt idx="11">
                  <c:v>0.24536300196257099</c:v>
                </c:pt>
                <c:pt idx="12">
                  <c:v>0.21376502866483105</c:v>
                </c:pt>
                <c:pt idx="13">
                  <c:v>0.27760592137907197</c:v>
                </c:pt>
                <c:pt idx="14">
                  <c:v>0.25212645290330643</c:v>
                </c:pt>
              </c:numCache>
            </c:numRef>
          </c:val>
          <c:extLst>
            <c:ext xmlns:c16="http://schemas.microsoft.com/office/drawing/2014/chart" uri="{C3380CC4-5D6E-409C-BE32-E72D297353CC}">
              <c16:uniqueId val="{00000001-CA06-4909-AB8A-4C48440CBD8A}"/>
            </c:ext>
          </c:extLst>
        </c:ser>
        <c:dLbls>
          <c:showLegendKey val="0"/>
          <c:showVal val="0"/>
          <c:showCatName val="0"/>
          <c:showSerName val="0"/>
          <c:showPercent val="0"/>
          <c:showBubbleSize val="0"/>
        </c:dLbls>
        <c:gapWidth val="150"/>
        <c:axId val="2129409952"/>
        <c:axId val="2129412912"/>
      </c:barChart>
      <c:lineChart>
        <c:grouping val="standard"/>
        <c:varyColors val="0"/>
        <c:ser>
          <c:idx val="2"/>
          <c:order val="0"/>
          <c:tx>
            <c:strRef>
              <c:f>'1974-1989'!$R$2</c:f>
              <c:strCache>
                <c:ptCount val="1"/>
                <c:pt idx="0">
                  <c:v>Balance of Tradel/GDP</c:v>
                </c:pt>
              </c:strCache>
            </c:strRef>
          </c:tx>
          <c:spPr>
            <a:ln w="38100">
              <a:solidFill>
                <a:srgbClr val="FF0000"/>
              </a:solidFill>
            </a:ln>
          </c:spPr>
          <c:marker>
            <c:symbol val="none"/>
          </c:marker>
          <c:val>
            <c:numRef>
              <c:f>'1974-1989'!$R$17:$R$31</c:f>
              <c:numCache>
                <c:formatCode>0%</c:formatCode>
                <c:ptCount val="15"/>
                <c:pt idx="0">
                  <c:v>2.1079192992758643E-2</c:v>
                </c:pt>
                <c:pt idx="1">
                  <c:v>3.7648789825316602E-2</c:v>
                </c:pt>
                <c:pt idx="2">
                  <c:v>3.5018361261314038E-2</c:v>
                </c:pt>
                <c:pt idx="3">
                  <c:v>4.2194085326154193E-2</c:v>
                </c:pt>
                <c:pt idx="4">
                  <c:v>6.4050177638124303E-2</c:v>
                </c:pt>
                <c:pt idx="5">
                  <c:v>6.1440634374590609E-2</c:v>
                </c:pt>
                <c:pt idx="6">
                  <c:v>6.7167943619232257E-2</c:v>
                </c:pt>
                <c:pt idx="7">
                  <c:v>7.1639581517352904E-2</c:v>
                </c:pt>
                <c:pt idx="8">
                  <c:v>6.2178610514131427E-2</c:v>
                </c:pt>
                <c:pt idx="9">
                  <c:v>4.8469932156117848E-2</c:v>
                </c:pt>
                <c:pt idx="10">
                  <c:v>4.9715898248547101E-2</c:v>
                </c:pt>
                <c:pt idx="11">
                  <c:v>3.6117810109753651E-2</c:v>
                </c:pt>
                <c:pt idx="12">
                  <c:v>4.7187440493068195E-2</c:v>
                </c:pt>
                <c:pt idx="13">
                  <c:v>2.5728390694919816E-2</c:v>
                </c:pt>
                <c:pt idx="14">
                  <c:v>-1.6838672167247982E-2</c:v>
                </c:pt>
              </c:numCache>
            </c:numRef>
          </c:val>
          <c:smooth val="0"/>
          <c:extLst>
            <c:ext xmlns:c16="http://schemas.microsoft.com/office/drawing/2014/chart" uri="{C3380CC4-5D6E-409C-BE32-E72D297353CC}">
              <c16:uniqueId val="{00000002-CA06-4909-AB8A-4C48440CBD8A}"/>
            </c:ext>
          </c:extLst>
        </c:ser>
        <c:dLbls>
          <c:showLegendKey val="0"/>
          <c:showVal val="0"/>
          <c:showCatName val="0"/>
          <c:showSerName val="0"/>
          <c:showPercent val="0"/>
          <c:showBubbleSize val="0"/>
        </c:dLbls>
        <c:marker val="1"/>
        <c:smooth val="0"/>
        <c:axId val="2129409952"/>
        <c:axId val="2129412912"/>
      </c:lineChart>
      <c:lineChart>
        <c:grouping val="standard"/>
        <c:varyColors val="0"/>
        <c:ser>
          <c:idx val="3"/>
          <c:order val="3"/>
          <c:tx>
            <c:strRef>
              <c:f>'1974-1989'!$AJ$2</c:f>
              <c:strCache>
                <c:ptCount val="1"/>
                <c:pt idx="0">
                  <c:v>Exchange Rate (Right Scale)</c:v>
                </c:pt>
              </c:strCache>
            </c:strRef>
          </c:tx>
          <c:spPr>
            <a:ln w="38100">
              <a:solidFill>
                <a:sysClr val="windowText" lastClr="000000"/>
              </a:solidFill>
            </a:ln>
          </c:spPr>
          <c:marker>
            <c:symbol val="none"/>
          </c:marker>
          <c:val>
            <c:numRef>
              <c:f>'1974-1989'!$AJ$17:$AJ$31</c:f>
              <c:numCache>
                <c:formatCode>#,##0</c:formatCode>
                <c:ptCount val="15"/>
                <c:pt idx="0">
                  <c:v>100</c:v>
                </c:pt>
                <c:pt idx="1">
                  <c:v>100</c:v>
                </c:pt>
                <c:pt idx="2">
                  <c:v>102.42718446601941</c:v>
                </c:pt>
                <c:pt idx="3">
                  <c:v>102.42718446601941</c:v>
                </c:pt>
                <c:pt idx="4">
                  <c:v>102.42718446601941</c:v>
                </c:pt>
                <c:pt idx="5">
                  <c:v>102.42718446601941</c:v>
                </c:pt>
                <c:pt idx="6">
                  <c:v>102.42718446601941</c:v>
                </c:pt>
                <c:pt idx="7">
                  <c:v>102.42718446601941</c:v>
                </c:pt>
                <c:pt idx="8">
                  <c:v>102.42718446601941</c:v>
                </c:pt>
                <c:pt idx="9">
                  <c:v>102.42718446601941</c:v>
                </c:pt>
                <c:pt idx="10">
                  <c:v>194.17475728155341</c:v>
                </c:pt>
                <c:pt idx="11">
                  <c:v>194.17475728155341</c:v>
                </c:pt>
                <c:pt idx="12">
                  <c:v>258.89967637540457</c:v>
                </c:pt>
                <c:pt idx="13">
                  <c:v>258.89967637540457</c:v>
                </c:pt>
                <c:pt idx="14">
                  <c:v>323.62459546925567</c:v>
                </c:pt>
              </c:numCache>
            </c:numRef>
          </c:val>
          <c:smooth val="0"/>
          <c:extLst>
            <c:ext xmlns:c16="http://schemas.microsoft.com/office/drawing/2014/chart" uri="{C3380CC4-5D6E-409C-BE32-E72D297353CC}">
              <c16:uniqueId val="{00000003-CA06-4909-AB8A-4C48440CBD8A}"/>
            </c:ext>
          </c:extLst>
        </c:ser>
        <c:dLbls>
          <c:showLegendKey val="0"/>
          <c:showVal val="0"/>
          <c:showCatName val="0"/>
          <c:showSerName val="0"/>
          <c:showPercent val="0"/>
          <c:showBubbleSize val="0"/>
        </c:dLbls>
        <c:marker val="1"/>
        <c:smooth val="0"/>
        <c:axId val="2128329840"/>
        <c:axId val="2128327072"/>
      </c:lineChart>
      <c:catAx>
        <c:axId val="2129409952"/>
        <c:scaling>
          <c:orientation val="minMax"/>
        </c:scaling>
        <c:delete val="0"/>
        <c:axPos val="b"/>
        <c:numFmt formatCode="General" sourceLinked="1"/>
        <c:majorTickMark val="out"/>
        <c:minorTickMark val="none"/>
        <c:tickLblPos val="nextTo"/>
        <c:crossAx val="2129412912"/>
        <c:crosses val="autoZero"/>
        <c:auto val="1"/>
        <c:lblAlgn val="ctr"/>
        <c:lblOffset val="100"/>
        <c:noMultiLvlLbl val="0"/>
      </c:catAx>
      <c:valAx>
        <c:axId val="2129412912"/>
        <c:scaling>
          <c:orientation val="minMax"/>
        </c:scaling>
        <c:delete val="0"/>
        <c:axPos val="l"/>
        <c:majorGridlines>
          <c:spPr>
            <a:ln>
              <a:noFill/>
            </a:ln>
          </c:spPr>
        </c:majorGridlines>
        <c:numFmt formatCode="0%" sourceLinked="1"/>
        <c:majorTickMark val="out"/>
        <c:minorTickMark val="none"/>
        <c:tickLblPos val="nextTo"/>
        <c:crossAx val="2129409952"/>
        <c:crosses val="autoZero"/>
        <c:crossBetween val="between"/>
      </c:valAx>
      <c:valAx>
        <c:axId val="2128327072"/>
        <c:scaling>
          <c:orientation val="minMax"/>
        </c:scaling>
        <c:delete val="0"/>
        <c:axPos val="r"/>
        <c:numFmt formatCode="#,##0" sourceLinked="1"/>
        <c:majorTickMark val="out"/>
        <c:minorTickMark val="none"/>
        <c:tickLblPos val="nextTo"/>
        <c:crossAx val="2128329840"/>
        <c:crosses val="max"/>
        <c:crossBetween val="between"/>
      </c:valAx>
      <c:catAx>
        <c:axId val="2128329840"/>
        <c:scaling>
          <c:orientation val="minMax"/>
        </c:scaling>
        <c:delete val="1"/>
        <c:axPos val="b"/>
        <c:majorTickMark val="out"/>
        <c:minorTickMark val="none"/>
        <c:tickLblPos val="nextTo"/>
        <c:crossAx val="2128327072"/>
        <c:crosses val="autoZero"/>
        <c:auto val="1"/>
        <c:lblAlgn val="ctr"/>
        <c:lblOffset val="100"/>
        <c:noMultiLvlLbl val="0"/>
      </c:catAx>
    </c:plotArea>
    <c:legend>
      <c:legendPos val="r"/>
      <c:layout>
        <c:manualLayout>
          <c:xMode val="edge"/>
          <c:yMode val="edge"/>
          <c:x val="7.3432438274919996E-3"/>
          <c:y val="2.8014944096017801E-2"/>
          <c:w val="0.333002665820196"/>
          <c:h val="0.26058505634234003"/>
        </c:manualLayout>
      </c:layout>
      <c:overlay val="0"/>
    </c:legend>
    <c:plotVisOnly val="1"/>
    <c:dispBlanksAs val="zero"/>
    <c:showDLblsOverMax val="0"/>
  </c:chart>
  <c:txPr>
    <a:bodyPr/>
    <a:lstStyle/>
    <a:p>
      <a:pPr>
        <a:defRPr sz="14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val>
            <c:numRef>
              <c:f>'3'!$H$7:$H$33</c:f>
              <c:numCache>
                <c:formatCode>#,##0</c:formatCode>
                <c:ptCount val="27"/>
                <c:pt idx="0">
                  <c:v>405</c:v>
                </c:pt>
                <c:pt idx="1">
                  <c:v>272</c:v>
                </c:pt>
                <c:pt idx="2">
                  <c:v>261</c:v>
                </c:pt>
                <c:pt idx="3">
                  <c:v>243</c:v>
                </c:pt>
                <c:pt idx="4">
                  <c:v>1299</c:v>
                </c:pt>
                <c:pt idx="5">
                  <c:v>2280</c:v>
                </c:pt>
                <c:pt idx="6">
                  <c:v>2607</c:v>
                </c:pt>
                <c:pt idx="7">
                  <c:v>1373.7</c:v>
                </c:pt>
                <c:pt idx="8">
                  <c:v>751</c:v>
                </c:pt>
                <c:pt idx="9">
                  <c:v>798</c:v>
                </c:pt>
                <c:pt idx="10">
                  <c:v>1361</c:v>
                </c:pt>
                <c:pt idx="11">
                  <c:v>1963</c:v>
                </c:pt>
                <c:pt idx="12">
                  <c:v>2873</c:v>
                </c:pt>
                <c:pt idx="13">
                  <c:v>9789.7999999999993</c:v>
                </c:pt>
                <c:pt idx="14">
                  <c:v>6099.7</c:v>
                </c:pt>
                <c:pt idx="15">
                  <c:v>6481</c:v>
                </c:pt>
                <c:pt idx="16">
                  <c:v>9968.5</c:v>
                </c:pt>
                <c:pt idx="17">
                  <c:v>2522.6</c:v>
                </c:pt>
                <c:pt idx="18">
                  <c:v>3586.9376000000002</c:v>
                </c:pt>
                <c:pt idx="19">
                  <c:v>6307.3320999999996</c:v>
                </c:pt>
                <c:pt idx="20">
                  <c:v>7738.92</c:v>
                </c:pt>
                <c:pt idx="21">
                  <c:v>27570.441800000001</c:v>
                </c:pt>
                <c:pt idx="22">
                  <c:v>45065.6924</c:v>
                </c:pt>
                <c:pt idx="23">
                  <c:v>13241.955</c:v>
                </c:pt>
                <c:pt idx="24">
                  <c:v>49145.840000000011</c:v>
                </c:pt>
                <c:pt idx="25">
                  <c:v>12468.004999999999</c:v>
                </c:pt>
                <c:pt idx="26">
                  <c:v>76671.7644</c:v>
                </c:pt>
              </c:numCache>
            </c:numRef>
          </c:val>
          <c:smooth val="0"/>
          <c:extLst>
            <c:ext xmlns:c16="http://schemas.microsoft.com/office/drawing/2014/chart" uri="{C3380CC4-5D6E-409C-BE32-E72D297353CC}">
              <c16:uniqueId val="{00000000-DD42-4E93-A4BB-9753745A5464}"/>
            </c:ext>
          </c:extLst>
        </c:ser>
        <c:ser>
          <c:idx val="1"/>
          <c:order val="1"/>
          <c:marker>
            <c:symbol val="none"/>
          </c:marker>
          <c:val>
            <c:numRef>
              <c:f>'3'!$I$7:$I$33</c:f>
              <c:numCache>
                <c:formatCode>#,##0</c:formatCode>
                <c:ptCount val="27"/>
                <c:pt idx="0">
                  <c:v>-549</c:v>
                </c:pt>
                <c:pt idx="1">
                  <c:v>252</c:v>
                </c:pt>
                <c:pt idx="2">
                  <c:v>295</c:v>
                </c:pt>
                <c:pt idx="3">
                  <c:v>-374</c:v>
                </c:pt>
                <c:pt idx="4">
                  <c:v>-83</c:v>
                </c:pt>
                <c:pt idx="5">
                  <c:v>203</c:v>
                </c:pt>
                <c:pt idx="6">
                  <c:v>90</c:v>
                </c:pt>
                <c:pt idx="7">
                  <c:v>-510.6</c:v>
                </c:pt>
                <c:pt idx="8">
                  <c:v>75</c:v>
                </c:pt>
                <c:pt idx="9">
                  <c:v>398</c:v>
                </c:pt>
                <c:pt idx="10">
                  <c:v>1141</c:v>
                </c:pt>
                <c:pt idx="11">
                  <c:v>-304</c:v>
                </c:pt>
                <c:pt idx="12">
                  <c:v>-1169</c:v>
                </c:pt>
                <c:pt idx="13">
                  <c:v>339.9</c:v>
                </c:pt>
                <c:pt idx="14">
                  <c:v>300.10000000000002</c:v>
                </c:pt>
                <c:pt idx="15">
                  <c:v>223.1</c:v>
                </c:pt>
                <c:pt idx="16">
                  <c:v>247.2</c:v>
                </c:pt>
                <c:pt idx="17">
                  <c:v>850.5</c:v>
                </c:pt>
                <c:pt idx="18">
                  <c:v>-5604.59</c:v>
                </c:pt>
                <c:pt idx="19">
                  <c:v>12756.402</c:v>
                </c:pt>
                <c:pt idx="20">
                  <c:v>-737.0400000000003</c:v>
                </c:pt>
                <c:pt idx="21">
                  <c:v>10390.0478</c:v>
                </c:pt>
                <c:pt idx="22">
                  <c:v>13166.461199999996</c:v>
                </c:pt>
                <c:pt idx="23">
                  <c:v>15472.178999999998</c:v>
                </c:pt>
                <c:pt idx="24">
                  <c:v>-23839.400000000005</c:v>
                </c:pt>
                <c:pt idx="25">
                  <c:v>9226.3236999999972</c:v>
                </c:pt>
                <c:pt idx="26">
                  <c:v>-28544.466399999998</c:v>
                </c:pt>
              </c:numCache>
            </c:numRef>
          </c:val>
          <c:smooth val="0"/>
          <c:extLst>
            <c:ext xmlns:c16="http://schemas.microsoft.com/office/drawing/2014/chart" uri="{C3380CC4-5D6E-409C-BE32-E72D297353CC}">
              <c16:uniqueId val="{00000001-DD42-4E93-A4BB-9753745A5464}"/>
            </c:ext>
          </c:extLst>
        </c:ser>
        <c:dLbls>
          <c:showLegendKey val="0"/>
          <c:showVal val="0"/>
          <c:showCatName val="0"/>
          <c:showSerName val="0"/>
          <c:showPercent val="0"/>
          <c:showBubbleSize val="0"/>
        </c:dLbls>
        <c:smooth val="0"/>
        <c:axId val="2126842800"/>
        <c:axId val="2126845600"/>
      </c:lineChart>
      <c:catAx>
        <c:axId val="2126842800"/>
        <c:scaling>
          <c:orientation val="minMax"/>
        </c:scaling>
        <c:delete val="0"/>
        <c:axPos val="b"/>
        <c:majorTickMark val="out"/>
        <c:minorTickMark val="none"/>
        <c:tickLblPos val="nextTo"/>
        <c:crossAx val="2126845600"/>
        <c:crosses val="autoZero"/>
        <c:auto val="1"/>
        <c:lblAlgn val="ctr"/>
        <c:lblOffset val="100"/>
        <c:noMultiLvlLbl val="0"/>
      </c:catAx>
      <c:valAx>
        <c:axId val="2126845600"/>
        <c:scaling>
          <c:orientation val="minMax"/>
        </c:scaling>
        <c:delete val="0"/>
        <c:axPos val="l"/>
        <c:majorGridlines/>
        <c:numFmt formatCode="#,##0" sourceLinked="1"/>
        <c:majorTickMark val="out"/>
        <c:minorTickMark val="none"/>
        <c:tickLblPos val="nextTo"/>
        <c:crossAx val="2126842800"/>
        <c:crosses val="autoZero"/>
        <c:crossBetween val="between"/>
      </c:valAx>
    </c:plotArea>
    <c:plotVisOnly val="1"/>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003763237037001E-2"/>
          <c:y val="3.5073174426124003E-2"/>
          <c:w val="0.92765385865202099"/>
          <c:h val="0.92985365114775198"/>
        </c:manualLayout>
      </c:layout>
      <c:lineChart>
        <c:grouping val="standard"/>
        <c:varyColors val="0"/>
        <c:ser>
          <c:idx val="0"/>
          <c:order val="0"/>
          <c:tx>
            <c:strRef>
              <c:f>'1974-1989'!$N$2</c:f>
              <c:strCache>
                <c:ptCount val="1"/>
                <c:pt idx="0">
                  <c:v>Current Account</c:v>
                </c:pt>
              </c:strCache>
            </c:strRef>
          </c:tx>
          <c:spPr>
            <a:ln w="38100">
              <a:solidFill>
                <a:schemeClr val="accent6">
                  <a:lumMod val="75000"/>
                </a:schemeClr>
              </a:solidFill>
            </a:ln>
          </c:spPr>
          <c:marker>
            <c:symbol val="none"/>
          </c:marker>
          <c:cat>
            <c:numRef>
              <c:f>'1974-1989'!$A$17:$A$31</c:f>
              <c:numCache>
                <c:formatCode>General</c:formatCode>
                <c:ptCount val="15"/>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numCache>
            </c:numRef>
          </c:cat>
          <c:val>
            <c:numRef>
              <c:f>'1974-1989'!$N$3:$N$31</c:f>
              <c:numCache>
                <c:formatCode>General</c:formatCode>
                <c:ptCount val="29"/>
                <c:pt idx="0">
                  <c:v>-12.664</c:v>
                </c:pt>
                <c:pt idx="1">
                  <c:v>-13.159000000000001</c:v>
                </c:pt>
                <c:pt idx="2">
                  <c:v>-9.4629999999999992</c:v>
                </c:pt>
                <c:pt idx="3">
                  <c:v>-8.4749999999999996</c:v>
                </c:pt>
                <c:pt idx="4">
                  <c:v>-12.898</c:v>
                </c:pt>
                <c:pt idx="5">
                  <c:v>-8.3650000000000002</c:v>
                </c:pt>
                <c:pt idx="6">
                  <c:v>-17.928000000000001</c:v>
                </c:pt>
                <c:pt idx="7">
                  <c:v>-29.734000000000002</c:v>
                </c:pt>
                <c:pt idx="8">
                  <c:v>-36.295000000000002</c:v>
                </c:pt>
                <c:pt idx="9">
                  <c:v>-37.97</c:v>
                </c:pt>
                <c:pt idx="10">
                  <c:v>-21.57</c:v>
                </c:pt>
                <c:pt idx="11">
                  <c:v>-30.065000000000001</c:v>
                </c:pt>
                <c:pt idx="12">
                  <c:v>-11.836</c:v>
                </c:pt>
                <c:pt idx="13">
                  <c:v>-15.699</c:v>
                </c:pt>
                <c:pt idx="14" formatCode="#,##0">
                  <c:v>-58.052999999999997</c:v>
                </c:pt>
                <c:pt idx="15" formatCode="#,##0">
                  <c:v>-103.592</c:v>
                </c:pt>
                <c:pt idx="16" formatCode="#,##0">
                  <c:v>-109.432</c:v>
                </c:pt>
                <c:pt idx="17" formatCode="#,##0">
                  <c:v>-134.65899999999999</c:v>
                </c:pt>
                <c:pt idx="18" formatCode="#,##0">
                  <c:v>-118.63800000000001</c:v>
                </c:pt>
                <c:pt idx="19" formatCode="#,##0">
                  <c:v>-213.37200000000001</c:v>
                </c:pt>
                <c:pt idx="20" formatCode="#,##0">
                  <c:v>-286.714</c:v>
                </c:pt>
                <c:pt idx="21" formatCode="#,##0">
                  <c:v>-380.27699999999999</c:v>
                </c:pt>
                <c:pt idx="22" formatCode="#,##0">
                  <c:v>-392.80500000000001</c:v>
                </c:pt>
                <c:pt idx="23" formatCode="#,##0">
                  <c:v>-253.584</c:v>
                </c:pt>
                <c:pt idx="24" formatCode="#,##0">
                  <c:v>-322.47899999999998</c:v>
                </c:pt>
                <c:pt idx="25" formatCode="#,##0">
                  <c:v>-185.39400000000001</c:v>
                </c:pt>
                <c:pt idx="26" formatCode="#,##0">
                  <c:v>-369.97300000000001</c:v>
                </c:pt>
                <c:pt idx="27" formatCode="#,##0">
                  <c:v>-160.37100000000001</c:v>
                </c:pt>
                <c:pt idx="28" formatCode="#,##0">
                  <c:v>-160.10900000000001</c:v>
                </c:pt>
              </c:numCache>
            </c:numRef>
          </c:val>
          <c:smooth val="0"/>
          <c:extLst>
            <c:ext xmlns:c16="http://schemas.microsoft.com/office/drawing/2014/chart" uri="{C3380CC4-5D6E-409C-BE32-E72D297353CC}">
              <c16:uniqueId val="{00000000-5482-4CD3-90BC-60E9047008A0}"/>
            </c:ext>
          </c:extLst>
        </c:ser>
        <c:ser>
          <c:idx val="3"/>
          <c:order val="1"/>
          <c:tx>
            <c:strRef>
              <c:f>'1974-1989'!$AD$2</c:f>
              <c:strCache>
                <c:ptCount val="1"/>
                <c:pt idx="0">
                  <c:v>Net Capítal Inflows</c:v>
                </c:pt>
              </c:strCache>
            </c:strRef>
          </c:tx>
          <c:spPr>
            <a:ln w="38100">
              <a:solidFill>
                <a:srgbClr val="00B050"/>
              </a:solidFill>
            </a:ln>
          </c:spPr>
          <c:marker>
            <c:symbol val="none"/>
          </c:marker>
          <c:cat>
            <c:numRef>
              <c:f>'1974-1989'!$A$17:$A$31</c:f>
              <c:numCache>
                <c:formatCode>General</c:formatCode>
                <c:ptCount val="15"/>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numCache>
            </c:numRef>
          </c:cat>
          <c:val>
            <c:numRef>
              <c:f>'1974-1989'!$AD$17:$AD$31</c:f>
              <c:numCache>
                <c:formatCode>#,##0</c:formatCode>
                <c:ptCount val="15"/>
                <c:pt idx="0">
                  <c:v>94.459000000000003</c:v>
                </c:pt>
                <c:pt idx="1">
                  <c:v>119.95099999999999</c:v>
                </c:pt>
                <c:pt idx="2">
                  <c:v>160.64400000000001</c:v>
                </c:pt>
                <c:pt idx="3">
                  <c:v>258.08499999999998</c:v>
                </c:pt>
                <c:pt idx="4">
                  <c:v>383.82100000000003</c:v>
                </c:pt>
                <c:pt idx="5">
                  <c:v>353.51099999999997</c:v>
                </c:pt>
                <c:pt idx="6">
                  <c:v>463.69900000000001</c:v>
                </c:pt>
                <c:pt idx="7">
                  <c:v>432.64699999999999</c:v>
                </c:pt>
                <c:pt idx="8">
                  <c:v>327.89299999999997</c:v>
                </c:pt>
                <c:pt idx="9">
                  <c:v>216.39300000000003</c:v>
                </c:pt>
                <c:pt idx="10">
                  <c:v>194.19900000000001</c:v>
                </c:pt>
                <c:pt idx="11">
                  <c:v>106.514</c:v>
                </c:pt>
                <c:pt idx="12">
                  <c:v>7.0039999999999907</c:v>
                </c:pt>
                <c:pt idx="13">
                  <c:v>171.185</c:v>
                </c:pt>
                <c:pt idx="14">
                  <c:v>-21.544</c:v>
                </c:pt>
              </c:numCache>
            </c:numRef>
          </c:val>
          <c:smooth val="0"/>
          <c:extLst>
            <c:ext xmlns:c16="http://schemas.microsoft.com/office/drawing/2014/chart" uri="{C3380CC4-5D6E-409C-BE32-E72D297353CC}">
              <c16:uniqueId val="{00000001-5482-4CD3-90BC-60E9047008A0}"/>
            </c:ext>
          </c:extLst>
        </c:ser>
        <c:ser>
          <c:idx val="4"/>
          <c:order val="2"/>
          <c:tx>
            <c:v>Balance of Payments</c:v>
          </c:tx>
          <c:spPr>
            <a:ln w="38100">
              <a:solidFill>
                <a:srgbClr val="00B0F0"/>
              </a:solidFill>
            </a:ln>
          </c:spPr>
          <c:marker>
            <c:symbol val="none"/>
          </c:marker>
          <c:cat>
            <c:numRef>
              <c:f>'1974-1989'!$A$17:$A$31</c:f>
              <c:numCache>
                <c:formatCode>General</c:formatCode>
                <c:ptCount val="15"/>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numCache>
            </c:numRef>
          </c:cat>
          <c:val>
            <c:numRef>
              <c:f>'1974-1989'!$AF$3:$AF$31</c:f>
              <c:numCache>
                <c:formatCode>0.00</c:formatCode>
                <c:ptCount val="29"/>
                <c:pt idx="0">
                  <c:v>-3.3</c:v>
                </c:pt>
                <c:pt idx="1">
                  <c:v>2.8</c:v>
                </c:pt>
                <c:pt idx="2">
                  <c:v>0.753</c:v>
                </c:pt>
                <c:pt idx="3">
                  <c:v>2.339</c:v>
                </c:pt>
                <c:pt idx="4">
                  <c:v>3.2629999999999999</c:v>
                </c:pt>
                <c:pt idx="5">
                  <c:v>6.2229999999999999</c:v>
                </c:pt>
                <c:pt idx="7">
                  <c:v>-4.2309999999999999</c:v>
                </c:pt>
                <c:pt idx="8">
                  <c:v>-3.2549999999999999</c:v>
                </c:pt>
                <c:pt idx="9">
                  <c:v>-3.1219999999999999</c:v>
                </c:pt>
                <c:pt idx="10">
                  <c:v>5.45</c:v>
                </c:pt>
                <c:pt idx="11">
                  <c:v>7.96</c:v>
                </c:pt>
                <c:pt idx="12">
                  <c:v>11.88</c:v>
                </c:pt>
                <c:pt idx="13">
                  <c:v>21.17</c:v>
                </c:pt>
                <c:pt idx="14" formatCode="#,##0">
                  <c:v>39.06</c:v>
                </c:pt>
                <c:pt idx="15" formatCode="#,##0">
                  <c:v>31.79</c:v>
                </c:pt>
                <c:pt idx="16" formatCode="#,##0">
                  <c:v>50.85</c:v>
                </c:pt>
                <c:pt idx="17" formatCode="#,##0">
                  <c:v>106.35</c:v>
                </c:pt>
                <c:pt idx="18" formatCode="#,##0">
                  <c:v>169.04</c:v>
                </c:pt>
                <c:pt idx="19" formatCode="#,##0">
                  <c:v>166.56</c:v>
                </c:pt>
                <c:pt idx="20" formatCode="#,##0">
                  <c:v>167.4</c:v>
                </c:pt>
                <c:pt idx="21" formatCode="#,##0">
                  <c:v>45.17</c:v>
                </c:pt>
                <c:pt idx="22" formatCode="#,##0">
                  <c:v>-71.5</c:v>
                </c:pt>
                <c:pt idx="23" formatCode="#,##0">
                  <c:v>-39.520000000000003</c:v>
                </c:pt>
                <c:pt idx="24" formatCode="#,##0">
                  <c:v>-95.5</c:v>
                </c:pt>
                <c:pt idx="25" formatCode="#,##0">
                  <c:v>-88.68</c:v>
                </c:pt>
                <c:pt idx="26" formatCode="#,##0">
                  <c:v>-90.075000000000003</c:v>
                </c:pt>
                <c:pt idx="27" formatCode="#,##0">
                  <c:v>53.19</c:v>
                </c:pt>
                <c:pt idx="28" formatCode="#,##0">
                  <c:v>-135.30000000000001</c:v>
                </c:pt>
              </c:numCache>
            </c:numRef>
          </c:val>
          <c:smooth val="0"/>
          <c:extLst>
            <c:ext xmlns:c16="http://schemas.microsoft.com/office/drawing/2014/chart" uri="{C3380CC4-5D6E-409C-BE32-E72D297353CC}">
              <c16:uniqueId val="{00000002-5482-4CD3-90BC-60E9047008A0}"/>
            </c:ext>
          </c:extLst>
        </c:ser>
        <c:dLbls>
          <c:showLegendKey val="0"/>
          <c:showVal val="0"/>
          <c:showCatName val="0"/>
          <c:showSerName val="0"/>
          <c:showPercent val="0"/>
          <c:showBubbleSize val="0"/>
        </c:dLbls>
        <c:marker val="1"/>
        <c:smooth val="0"/>
        <c:axId val="2129443888"/>
        <c:axId val="2129446848"/>
      </c:lineChart>
      <c:lineChart>
        <c:grouping val="standard"/>
        <c:varyColors val="0"/>
        <c:ser>
          <c:idx val="1"/>
          <c:order val="3"/>
          <c:tx>
            <c:strRef>
              <c:f>'1974-1989'!$AJ$2</c:f>
              <c:strCache>
                <c:ptCount val="1"/>
                <c:pt idx="0">
                  <c:v>Exchange Rate (Right Scale)</c:v>
                </c:pt>
              </c:strCache>
            </c:strRef>
          </c:tx>
          <c:spPr>
            <a:ln w="38100">
              <a:solidFill>
                <a:sysClr val="windowText" lastClr="000000"/>
              </a:solidFill>
            </a:ln>
          </c:spPr>
          <c:marker>
            <c:symbol val="none"/>
          </c:marker>
          <c:val>
            <c:numRef>
              <c:f>'1974-1989'!$AJ$17:$AJ$31</c:f>
              <c:numCache>
                <c:formatCode>#,##0</c:formatCode>
                <c:ptCount val="15"/>
                <c:pt idx="0">
                  <c:v>100</c:v>
                </c:pt>
                <c:pt idx="1">
                  <c:v>100</c:v>
                </c:pt>
                <c:pt idx="2">
                  <c:v>102.42718446601941</c:v>
                </c:pt>
                <c:pt idx="3">
                  <c:v>102.42718446601941</c:v>
                </c:pt>
                <c:pt idx="4">
                  <c:v>102.42718446601941</c:v>
                </c:pt>
                <c:pt idx="5">
                  <c:v>102.42718446601941</c:v>
                </c:pt>
                <c:pt idx="6">
                  <c:v>102.42718446601941</c:v>
                </c:pt>
                <c:pt idx="7">
                  <c:v>102.42718446601941</c:v>
                </c:pt>
                <c:pt idx="8">
                  <c:v>102.42718446601941</c:v>
                </c:pt>
                <c:pt idx="9">
                  <c:v>102.42718446601941</c:v>
                </c:pt>
                <c:pt idx="10">
                  <c:v>194.17475728155341</c:v>
                </c:pt>
                <c:pt idx="11">
                  <c:v>194.17475728155341</c:v>
                </c:pt>
                <c:pt idx="12">
                  <c:v>258.89967637540457</c:v>
                </c:pt>
                <c:pt idx="13">
                  <c:v>258.89967637540457</c:v>
                </c:pt>
                <c:pt idx="14">
                  <c:v>323.62459546925567</c:v>
                </c:pt>
              </c:numCache>
            </c:numRef>
          </c:val>
          <c:smooth val="0"/>
          <c:extLst>
            <c:ext xmlns:c16="http://schemas.microsoft.com/office/drawing/2014/chart" uri="{C3380CC4-5D6E-409C-BE32-E72D297353CC}">
              <c16:uniqueId val="{00000003-5482-4CD3-90BC-60E9047008A0}"/>
            </c:ext>
          </c:extLst>
        </c:ser>
        <c:dLbls>
          <c:showLegendKey val="0"/>
          <c:showVal val="0"/>
          <c:showCatName val="0"/>
          <c:showSerName val="0"/>
          <c:showPercent val="0"/>
          <c:showBubbleSize val="0"/>
        </c:dLbls>
        <c:marker val="1"/>
        <c:smooth val="0"/>
        <c:axId val="2128350128"/>
        <c:axId val="2129449824"/>
      </c:lineChart>
      <c:catAx>
        <c:axId val="2129443888"/>
        <c:scaling>
          <c:orientation val="minMax"/>
        </c:scaling>
        <c:delete val="0"/>
        <c:axPos val="b"/>
        <c:numFmt formatCode="General" sourceLinked="1"/>
        <c:majorTickMark val="out"/>
        <c:minorTickMark val="none"/>
        <c:tickLblPos val="nextTo"/>
        <c:crossAx val="2129446848"/>
        <c:crosses val="autoZero"/>
        <c:auto val="1"/>
        <c:lblAlgn val="ctr"/>
        <c:lblOffset val="100"/>
        <c:noMultiLvlLbl val="0"/>
      </c:catAx>
      <c:valAx>
        <c:axId val="2129446848"/>
        <c:scaling>
          <c:orientation val="minMax"/>
        </c:scaling>
        <c:delete val="0"/>
        <c:axPos val="l"/>
        <c:majorGridlines>
          <c:spPr>
            <a:ln>
              <a:solidFill>
                <a:schemeClr val="bg1"/>
              </a:solidFill>
            </a:ln>
          </c:spPr>
        </c:majorGridlines>
        <c:numFmt formatCode="General" sourceLinked="1"/>
        <c:majorTickMark val="out"/>
        <c:minorTickMark val="none"/>
        <c:tickLblPos val="nextTo"/>
        <c:crossAx val="2129443888"/>
        <c:crosses val="autoZero"/>
        <c:crossBetween val="between"/>
      </c:valAx>
      <c:valAx>
        <c:axId val="2129449824"/>
        <c:scaling>
          <c:orientation val="minMax"/>
        </c:scaling>
        <c:delete val="0"/>
        <c:axPos val="r"/>
        <c:numFmt formatCode="#,##0" sourceLinked="1"/>
        <c:majorTickMark val="out"/>
        <c:minorTickMark val="none"/>
        <c:tickLblPos val="nextTo"/>
        <c:crossAx val="2128350128"/>
        <c:crosses val="max"/>
        <c:crossBetween val="between"/>
      </c:valAx>
      <c:catAx>
        <c:axId val="2128350128"/>
        <c:scaling>
          <c:orientation val="minMax"/>
        </c:scaling>
        <c:delete val="1"/>
        <c:axPos val="b"/>
        <c:majorTickMark val="out"/>
        <c:minorTickMark val="none"/>
        <c:tickLblPos val="nextTo"/>
        <c:crossAx val="2129449824"/>
        <c:crosses val="autoZero"/>
        <c:auto val="1"/>
        <c:lblAlgn val="ctr"/>
        <c:lblOffset val="100"/>
        <c:noMultiLvlLbl val="0"/>
      </c:catAx>
    </c:plotArea>
    <c:legend>
      <c:legendPos val="r"/>
      <c:layout>
        <c:manualLayout>
          <c:xMode val="edge"/>
          <c:yMode val="edge"/>
          <c:x val="5.3147491737077703E-2"/>
          <c:y val="8.1314876566751005E-4"/>
          <c:w val="0.78096317762160194"/>
          <c:h val="0.163677278754746"/>
        </c:manualLayout>
      </c:layout>
      <c:overlay val="0"/>
    </c:legend>
    <c:plotVisOnly val="1"/>
    <c:dispBlanksAs val="gap"/>
    <c:showDLblsOverMax val="0"/>
  </c:chart>
  <c:txPr>
    <a:bodyPr/>
    <a:lstStyle/>
    <a:p>
      <a:pPr>
        <a:defRPr sz="1400"/>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003763237037001E-2"/>
          <c:y val="3.5073174426124003E-2"/>
          <c:w val="0.92765385865202099"/>
          <c:h val="0.92985365114775198"/>
        </c:manualLayout>
      </c:layout>
      <c:lineChart>
        <c:grouping val="standard"/>
        <c:varyColors val="0"/>
        <c:ser>
          <c:idx val="0"/>
          <c:order val="0"/>
          <c:tx>
            <c:strRef>
              <c:f>'1974-1989'!$O$2</c:f>
              <c:strCache>
                <c:ptCount val="1"/>
                <c:pt idx="0">
                  <c:v>Current Account/GDP</c:v>
                </c:pt>
              </c:strCache>
            </c:strRef>
          </c:tx>
          <c:spPr>
            <a:ln w="38100">
              <a:solidFill>
                <a:schemeClr val="accent6">
                  <a:lumMod val="75000"/>
                </a:schemeClr>
              </a:solidFill>
            </a:ln>
          </c:spPr>
          <c:marker>
            <c:symbol val="none"/>
          </c:marker>
          <c:cat>
            <c:numRef>
              <c:f>'1974-1989'!$A$17:$A$31</c:f>
              <c:numCache>
                <c:formatCode>General</c:formatCode>
                <c:ptCount val="15"/>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numCache>
            </c:numRef>
          </c:cat>
          <c:val>
            <c:numRef>
              <c:f>'1974-1989'!$O$17:$O$31</c:f>
              <c:numCache>
                <c:formatCode>0%</c:formatCode>
                <c:ptCount val="15"/>
                <c:pt idx="0">
                  <c:v>-4.8392865535991515E-2</c:v>
                </c:pt>
                <c:pt idx="1">
                  <c:v>-7.662757010401787E-2</c:v>
                </c:pt>
                <c:pt idx="2">
                  <c:v>-7.1021912069761439E-2</c:v>
                </c:pt>
                <c:pt idx="3">
                  <c:v>-7.041533443964057E-2</c:v>
                </c:pt>
                <c:pt idx="4">
                  <c:v>-5.0477185145588792E-2</c:v>
                </c:pt>
                <c:pt idx="5">
                  <c:v>-6.8058554685683753E-2</c:v>
                </c:pt>
                <c:pt idx="6">
                  <c:v>-7.0018869207550016E-2</c:v>
                </c:pt>
                <c:pt idx="7">
                  <c:v>-7.2856743992561077E-2</c:v>
                </c:pt>
                <c:pt idx="8">
                  <c:v>-7.7515318318443466E-2</c:v>
                </c:pt>
                <c:pt idx="9">
                  <c:v>-4.8417616446505482E-2</c:v>
                </c:pt>
                <c:pt idx="10">
                  <c:v>-7.9384884660067351E-2</c:v>
                </c:pt>
                <c:pt idx="11">
                  <c:v>-6.2544019647562302E-2</c:v>
                </c:pt>
                <c:pt idx="12">
                  <c:v>-0.10747599944311897</c:v>
                </c:pt>
                <c:pt idx="13">
                  <c:v>-4.24450956088364E-2</c:v>
                </c:pt>
                <c:pt idx="14">
                  <c:v>-3.9217161173390559E-2</c:v>
                </c:pt>
              </c:numCache>
            </c:numRef>
          </c:val>
          <c:smooth val="0"/>
          <c:extLst>
            <c:ext xmlns:c16="http://schemas.microsoft.com/office/drawing/2014/chart" uri="{C3380CC4-5D6E-409C-BE32-E72D297353CC}">
              <c16:uniqueId val="{00000000-2BAD-4875-A5DD-4224699E7126}"/>
            </c:ext>
          </c:extLst>
        </c:ser>
        <c:ser>
          <c:idx val="3"/>
          <c:order val="1"/>
          <c:tx>
            <c:strRef>
              <c:f>'1974-1989'!$AE$2</c:f>
              <c:strCache>
                <c:ptCount val="1"/>
                <c:pt idx="0">
                  <c:v>Net Capítal Inflows/GDP</c:v>
                </c:pt>
              </c:strCache>
            </c:strRef>
          </c:tx>
          <c:spPr>
            <a:ln w="38100">
              <a:solidFill>
                <a:srgbClr val="00B050"/>
              </a:solidFill>
            </a:ln>
          </c:spPr>
          <c:marker>
            <c:symbol val="none"/>
          </c:marker>
          <c:cat>
            <c:numRef>
              <c:f>'1974-1989'!$A$17:$A$31</c:f>
              <c:numCache>
                <c:formatCode>General</c:formatCode>
                <c:ptCount val="15"/>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numCache>
            </c:numRef>
          </c:cat>
          <c:val>
            <c:numRef>
              <c:f>'1974-1989'!$AE$17:$AE$31</c:f>
              <c:numCache>
                <c:formatCode>0%</c:formatCode>
                <c:ptCount val="15"/>
                <c:pt idx="0">
                  <c:v>7.8740834852018382E-2</c:v>
                </c:pt>
                <c:pt idx="1">
                  <c:v>8.8728412054473779E-2</c:v>
                </c:pt>
                <c:pt idx="2">
                  <c:v>0.10425875468359123</c:v>
                </c:pt>
                <c:pt idx="3">
                  <c:v>0.13495675438592769</c:v>
                </c:pt>
                <c:pt idx="4">
                  <c:v>0.16330521148169252</c:v>
                </c:pt>
                <c:pt idx="5">
                  <c:v>0.11275822378517682</c:v>
                </c:pt>
                <c:pt idx="6">
                  <c:v>0.11324064968111684</c:v>
                </c:pt>
                <c:pt idx="7">
                  <c:v>8.2890239794017453E-2</c:v>
                </c:pt>
                <c:pt idx="8">
                  <c:v>6.4705719808529377E-2</c:v>
                </c:pt>
                <c:pt idx="9">
                  <c:v>4.1316618066237071E-2</c:v>
                </c:pt>
                <c:pt idx="10">
                  <c:v>4.7806105873872164E-2</c:v>
                </c:pt>
                <c:pt idx="11">
                  <c:v>3.593327566555795E-2</c:v>
                </c:pt>
                <c:pt idx="12">
                  <c:v>2.0346400956275305E-3</c:v>
                </c:pt>
                <c:pt idx="13">
                  <c:v>4.53072169644054E-2</c:v>
                </c:pt>
                <c:pt idx="14">
                  <c:v>-5.2769957986092365E-3</c:v>
                </c:pt>
              </c:numCache>
            </c:numRef>
          </c:val>
          <c:smooth val="0"/>
          <c:extLst>
            <c:ext xmlns:c16="http://schemas.microsoft.com/office/drawing/2014/chart" uri="{C3380CC4-5D6E-409C-BE32-E72D297353CC}">
              <c16:uniqueId val="{00000001-2BAD-4875-A5DD-4224699E7126}"/>
            </c:ext>
          </c:extLst>
        </c:ser>
        <c:ser>
          <c:idx val="4"/>
          <c:order val="2"/>
          <c:tx>
            <c:strRef>
              <c:f>'1974-1989'!$AG$2</c:f>
              <c:strCache>
                <c:ptCount val="1"/>
                <c:pt idx="0">
                  <c:v>Balance of Payments/GDP</c:v>
                </c:pt>
              </c:strCache>
            </c:strRef>
          </c:tx>
          <c:spPr>
            <a:ln w="38100">
              <a:solidFill>
                <a:srgbClr val="00B0F0"/>
              </a:solidFill>
            </a:ln>
          </c:spPr>
          <c:marker>
            <c:symbol val="none"/>
          </c:marker>
          <c:cat>
            <c:numRef>
              <c:f>'1974-1989'!$A$17:$A$31</c:f>
              <c:numCache>
                <c:formatCode>General</c:formatCode>
                <c:ptCount val="15"/>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numCache>
            </c:numRef>
          </c:cat>
          <c:val>
            <c:numRef>
              <c:f>'1974-1989'!$AG$17:$AG$31</c:f>
              <c:numCache>
                <c:formatCode>0%</c:formatCode>
                <c:ptCount val="15"/>
                <c:pt idx="0">
                  <c:v>3.2560338446520058E-2</c:v>
                </c:pt>
                <c:pt idx="1">
                  <c:v>2.3515237215293923E-2</c:v>
                </c:pt>
                <c:pt idx="2">
                  <c:v>3.3001902814052284E-2</c:v>
                </c:pt>
                <c:pt idx="3">
                  <c:v>5.5612107751102965E-2</c:v>
                </c:pt>
                <c:pt idx="4">
                  <c:v>7.1921841037528689E-2</c:v>
                </c:pt>
                <c:pt idx="5">
                  <c:v>5.3127087286276957E-2</c:v>
                </c:pt>
                <c:pt idx="6">
                  <c:v>4.0881012804899211E-2</c:v>
                </c:pt>
                <c:pt idx="7">
                  <c:v>8.6540577687948105E-3</c:v>
                </c:pt>
                <c:pt idx="8">
                  <c:v>-1.4109660670736645E-2</c:v>
                </c:pt>
                <c:pt idx="9">
                  <c:v>-7.5456819119735343E-3</c:v>
                </c:pt>
                <c:pt idx="10">
                  <c:v>-2.3509302884951989E-2</c:v>
                </c:pt>
                <c:pt idx="11">
                  <c:v>-2.991684554163471E-2</c:v>
                </c:pt>
                <c:pt idx="12">
                  <c:v>-2.61665057986365E-2</c:v>
                </c:pt>
                <c:pt idx="13">
                  <c:v>1.4077698807352998E-2</c:v>
                </c:pt>
                <c:pt idx="14">
                  <c:v>-3.3140434995907429E-2</c:v>
                </c:pt>
              </c:numCache>
            </c:numRef>
          </c:val>
          <c:smooth val="0"/>
          <c:extLst>
            <c:ext xmlns:c16="http://schemas.microsoft.com/office/drawing/2014/chart" uri="{C3380CC4-5D6E-409C-BE32-E72D297353CC}">
              <c16:uniqueId val="{00000002-2BAD-4875-A5DD-4224699E7126}"/>
            </c:ext>
          </c:extLst>
        </c:ser>
        <c:dLbls>
          <c:showLegendKey val="0"/>
          <c:showVal val="0"/>
          <c:showCatName val="0"/>
          <c:showSerName val="0"/>
          <c:showPercent val="0"/>
          <c:showBubbleSize val="0"/>
        </c:dLbls>
        <c:marker val="1"/>
        <c:smooth val="0"/>
        <c:axId val="2124266400"/>
        <c:axId val="2124269312"/>
      </c:lineChart>
      <c:lineChart>
        <c:grouping val="standard"/>
        <c:varyColors val="0"/>
        <c:ser>
          <c:idx val="1"/>
          <c:order val="3"/>
          <c:tx>
            <c:strRef>
              <c:f>'1974-1989'!$AJ$2</c:f>
              <c:strCache>
                <c:ptCount val="1"/>
                <c:pt idx="0">
                  <c:v>Exchange Rate (Right Scale)</c:v>
                </c:pt>
              </c:strCache>
            </c:strRef>
          </c:tx>
          <c:spPr>
            <a:ln w="38100">
              <a:solidFill>
                <a:sysClr val="windowText" lastClr="000000"/>
              </a:solidFill>
            </a:ln>
          </c:spPr>
          <c:marker>
            <c:symbol val="none"/>
          </c:marker>
          <c:val>
            <c:numRef>
              <c:f>'1974-1989'!$AJ$17:$AJ$31</c:f>
              <c:numCache>
                <c:formatCode>#,##0</c:formatCode>
                <c:ptCount val="15"/>
                <c:pt idx="0">
                  <c:v>100</c:v>
                </c:pt>
                <c:pt idx="1">
                  <c:v>100</c:v>
                </c:pt>
                <c:pt idx="2">
                  <c:v>102.42718446601941</c:v>
                </c:pt>
                <c:pt idx="3">
                  <c:v>102.42718446601941</c:v>
                </c:pt>
                <c:pt idx="4">
                  <c:v>102.42718446601941</c:v>
                </c:pt>
                <c:pt idx="5">
                  <c:v>102.42718446601941</c:v>
                </c:pt>
                <c:pt idx="6">
                  <c:v>102.42718446601941</c:v>
                </c:pt>
                <c:pt idx="7">
                  <c:v>102.42718446601941</c:v>
                </c:pt>
                <c:pt idx="8">
                  <c:v>102.42718446601941</c:v>
                </c:pt>
                <c:pt idx="9">
                  <c:v>102.42718446601941</c:v>
                </c:pt>
                <c:pt idx="10">
                  <c:v>194.17475728155341</c:v>
                </c:pt>
                <c:pt idx="11">
                  <c:v>194.17475728155341</c:v>
                </c:pt>
                <c:pt idx="12">
                  <c:v>258.89967637540457</c:v>
                </c:pt>
                <c:pt idx="13">
                  <c:v>258.89967637540457</c:v>
                </c:pt>
                <c:pt idx="14">
                  <c:v>323.62459546925567</c:v>
                </c:pt>
              </c:numCache>
            </c:numRef>
          </c:val>
          <c:smooth val="0"/>
          <c:extLst>
            <c:ext xmlns:c16="http://schemas.microsoft.com/office/drawing/2014/chart" uri="{C3380CC4-5D6E-409C-BE32-E72D297353CC}">
              <c16:uniqueId val="{00000003-2BAD-4875-A5DD-4224699E7126}"/>
            </c:ext>
          </c:extLst>
        </c:ser>
        <c:dLbls>
          <c:showLegendKey val="0"/>
          <c:showVal val="0"/>
          <c:showCatName val="0"/>
          <c:showSerName val="0"/>
          <c:showPercent val="0"/>
          <c:showBubbleSize val="0"/>
        </c:dLbls>
        <c:marker val="1"/>
        <c:smooth val="0"/>
        <c:axId val="2124275040"/>
        <c:axId val="2124272288"/>
      </c:lineChart>
      <c:catAx>
        <c:axId val="2124266400"/>
        <c:scaling>
          <c:orientation val="minMax"/>
        </c:scaling>
        <c:delete val="0"/>
        <c:axPos val="b"/>
        <c:numFmt formatCode="General" sourceLinked="1"/>
        <c:majorTickMark val="out"/>
        <c:minorTickMark val="none"/>
        <c:tickLblPos val="nextTo"/>
        <c:crossAx val="2124269312"/>
        <c:crosses val="autoZero"/>
        <c:auto val="1"/>
        <c:lblAlgn val="ctr"/>
        <c:lblOffset val="100"/>
        <c:noMultiLvlLbl val="0"/>
      </c:catAx>
      <c:valAx>
        <c:axId val="2124269312"/>
        <c:scaling>
          <c:orientation val="minMax"/>
        </c:scaling>
        <c:delete val="0"/>
        <c:axPos val="l"/>
        <c:majorGridlines>
          <c:spPr>
            <a:ln>
              <a:solidFill>
                <a:schemeClr val="bg1"/>
              </a:solidFill>
            </a:ln>
          </c:spPr>
        </c:majorGridlines>
        <c:numFmt formatCode="0%" sourceLinked="1"/>
        <c:majorTickMark val="out"/>
        <c:minorTickMark val="none"/>
        <c:tickLblPos val="nextTo"/>
        <c:crossAx val="2124266400"/>
        <c:crosses val="autoZero"/>
        <c:crossBetween val="between"/>
      </c:valAx>
      <c:valAx>
        <c:axId val="2124272288"/>
        <c:scaling>
          <c:orientation val="minMax"/>
        </c:scaling>
        <c:delete val="0"/>
        <c:axPos val="r"/>
        <c:numFmt formatCode="#,##0" sourceLinked="1"/>
        <c:majorTickMark val="out"/>
        <c:minorTickMark val="none"/>
        <c:tickLblPos val="nextTo"/>
        <c:crossAx val="2124275040"/>
        <c:crosses val="max"/>
        <c:crossBetween val="between"/>
      </c:valAx>
      <c:catAx>
        <c:axId val="2124275040"/>
        <c:scaling>
          <c:orientation val="minMax"/>
        </c:scaling>
        <c:delete val="1"/>
        <c:axPos val="b"/>
        <c:majorTickMark val="out"/>
        <c:minorTickMark val="none"/>
        <c:tickLblPos val="nextTo"/>
        <c:crossAx val="2124272288"/>
        <c:crosses val="autoZero"/>
        <c:auto val="1"/>
        <c:lblAlgn val="ctr"/>
        <c:lblOffset val="100"/>
        <c:noMultiLvlLbl val="0"/>
      </c:catAx>
    </c:plotArea>
    <c:legend>
      <c:legendPos val="r"/>
      <c:layout>
        <c:manualLayout>
          <c:xMode val="edge"/>
          <c:yMode val="edge"/>
          <c:x val="0"/>
          <c:y val="1.78872562178208E-2"/>
          <c:w val="0.78096317762160194"/>
          <c:h val="0.11530064097364499"/>
        </c:manualLayout>
      </c:layout>
      <c:overlay val="0"/>
    </c:legend>
    <c:plotVisOnly val="1"/>
    <c:dispBlanksAs val="gap"/>
    <c:showDLblsOverMax val="0"/>
  </c:chart>
  <c:txPr>
    <a:bodyPr/>
    <a:lstStyle/>
    <a:p>
      <a:pPr>
        <a:defRPr sz="1400"/>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03763237037001E-2"/>
          <c:y val="3.5073174426124003E-2"/>
          <c:w val="0.92765385865202099"/>
          <c:h val="0.92985365114775198"/>
        </c:manualLayout>
      </c:layout>
      <c:lineChart>
        <c:grouping val="standard"/>
        <c:varyColors val="0"/>
        <c:ser>
          <c:idx val="0"/>
          <c:order val="0"/>
          <c:tx>
            <c:strRef>
              <c:f>'1974-1989'!$N$2</c:f>
              <c:strCache>
                <c:ptCount val="1"/>
                <c:pt idx="0">
                  <c:v>Current Account</c:v>
                </c:pt>
              </c:strCache>
            </c:strRef>
          </c:tx>
          <c:spPr>
            <a:ln w="38100">
              <a:solidFill>
                <a:schemeClr val="accent6">
                  <a:lumMod val="75000"/>
                </a:schemeClr>
              </a:solidFill>
            </a:ln>
          </c:spPr>
          <c:marker>
            <c:symbol val="none"/>
          </c:marker>
          <c:cat>
            <c:numRef>
              <c:f>'1974-1989'!$A$17:$A$31</c:f>
              <c:numCache>
                <c:formatCode>General</c:formatCode>
                <c:ptCount val="15"/>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numCache>
            </c:numRef>
          </c:cat>
          <c:val>
            <c:numRef>
              <c:f>'1974-1989'!$N$3:$N$31</c:f>
              <c:numCache>
                <c:formatCode>General</c:formatCode>
                <c:ptCount val="29"/>
                <c:pt idx="0">
                  <c:v>-12.664</c:v>
                </c:pt>
                <c:pt idx="1">
                  <c:v>-13.159000000000001</c:v>
                </c:pt>
                <c:pt idx="2">
                  <c:v>-9.4629999999999992</c:v>
                </c:pt>
                <c:pt idx="3">
                  <c:v>-8.4749999999999996</c:v>
                </c:pt>
                <c:pt idx="4">
                  <c:v>-12.898</c:v>
                </c:pt>
                <c:pt idx="5">
                  <c:v>-8.3650000000000002</c:v>
                </c:pt>
                <c:pt idx="6">
                  <c:v>-17.928000000000001</c:v>
                </c:pt>
                <c:pt idx="7">
                  <c:v>-29.734000000000002</c:v>
                </c:pt>
                <c:pt idx="8">
                  <c:v>-36.295000000000002</c:v>
                </c:pt>
                <c:pt idx="9">
                  <c:v>-37.97</c:v>
                </c:pt>
                <c:pt idx="10">
                  <c:v>-21.57</c:v>
                </c:pt>
                <c:pt idx="11">
                  <c:v>-30.065000000000001</c:v>
                </c:pt>
                <c:pt idx="12">
                  <c:v>-11.836</c:v>
                </c:pt>
                <c:pt idx="13">
                  <c:v>-15.699</c:v>
                </c:pt>
                <c:pt idx="14" formatCode="#,##0">
                  <c:v>-58.052999999999997</c:v>
                </c:pt>
                <c:pt idx="15" formatCode="#,##0">
                  <c:v>-103.592</c:v>
                </c:pt>
                <c:pt idx="16" formatCode="#,##0">
                  <c:v>-109.432</c:v>
                </c:pt>
                <c:pt idx="17" formatCode="#,##0">
                  <c:v>-134.65899999999999</c:v>
                </c:pt>
                <c:pt idx="18" formatCode="#,##0">
                  <c:v>-118.63800000000001</c:v>
                </c:pt>
                <c:pt idx="19" formatCode="#,##0">
                  <c:v>-213.37200000000001</c:v>
                </c:pt>
                <c:pt idx="20" formatCode="#,##0">
                  <c:v>-286.714</c:v>
                </c:pt>
                <c:pt idx="21" formatCode="#,##0">
                  <c:v>-380.27699999999999</c:v>
                </c:pt>
                <c:pt idx="22" formatCode="#,##0">
                  <c:v>-392.80500000000001</c:v>
                </c:pt>
                <c:pt idx="23" formatCode="#,##0">
                  <c:v>-253.584</c:v>
                </c:pt>
                <c:pt idx="24" formatCode="#,##0">
                  <c:v>-322.47899999999998</c:v>
                </c:pt>
                <c:pt idx="25" formatCode="#,##0">
                  <c:v>-185.39400000000001</c:v>
                </c:pt>
                <c:pt idx="26" formatCode="#,##0">
                  <c:v>-369.97300000000001</c:v>
                </c:pt>
                <c:pt idx="27" formatCode="#,##0">
                  <c:v>-160.37100000000001</c:v>
                </c:pt>
                <c:pt idx="28" formatCode="#,##0">
                  <c:v>-160.10900000000001</c:v>
                </c:pt>
              </c:numCache>
            </c:numRef>
          </c:val>
          <c:smooth val="0"/>
          <c:extLst>
            <c:ext xmlns:c16="http://schemas.microsoft.com/office/drawing/2014/chart" uri="{C3380CC4-5D6E-409C-BE32-E72D297353CC}">
              <c16:uniqueId val="{00000000-98D5-44D0-A0AE-EA871D128396}"/>
            </c:ext>
          </c:extLst>
        </c:ser>
        <c:dLbls>
          <c:showLegendKey val="0"/>
          <c:showVal val="0"/>
          <c:showCatName val="0"/>
          <c:showSerName val="0"/>
          <c:showPercent val="0"/>
          <c:showBubbleSize val="0"/>
        </c:dLbls>
        <c:smooth val="0"/>
        <c:axId val="2129481024"/>
        <c:axId val="2129483936"/>
      </c:lineChart>
      <c:catAx>
        <c:axId val="2129481024"/>
        <c:scaling>
          <c:orientation val="minMax"/>
        </c:scaling>
        <c:delete val="0"/>
        <c:axPos val="b"/>
        <c:numFmt formatCode="General" sourceLinked="1"/>
        <c:majorTickMark val="out"/>
        <c:minorTickMark val="none"/>
        <c:tickLblPos val="nextTo"/>
        <c:crossAx val="2129483936"/>
        <c:crosses val="autoZero"/>
        <c:auto val="1"/>
        <c:lblAlgn val="ctr"/>
        <c:lblOffset val="100"/>
        <c:noMultiLvlLbl val="0"/>
      </c:catAx>
      <c:valAx>
        <c:axId val="2129483936"/>
        <c:scaling>
          <c:orientation val="minMax"/>
        </c:scaling>
        <c:delete val="0"/>
        <c:axPos val="l"/>
        <c:majorGridlines>
          <c:spPr>
            <a:ln>
              <a:solidFill>
                <a:schemeClr val="bg1"/>
              </a:solidFill>
            </a:ln>
          </c:spPr>
        </c:majorGridlines>
        <c:numFmt formatCode="General" sourceLinked="1"/>
        <c:majorTickMark val="out"/>
        <c:minorTickMark val="none"/>
        <c:tickLblPos val="nextTo"/>
        <c:crossAx val="2129481024"/>
        <c:crosses val="autoZero"/>
        <c:crossBetween val="between"/>
      </c:valAx>
    </c:plotArea>
    <c:legend>
      <c:legendPos val="r"/>
      <c:layout>
        <c:manualLayout>
          <c:xMode val="edge"/>
          <c:yMode val="edge"/>
          <c:x val="0.115968010899254"/>
          <c:y val="0.87728399797620304"/>
          <c:w val="0.78096317762160194"/>
          <c:h val="0.112454956398287"/>
        </c:manualLayout>
      </c:layout>
      <c:overlay val="0"/>
    </c:legend>
    <c:plotVisOnly val="1"/>
    <c:dispBlanksAs val="gap"/>
    <c:showDLblsOverMax val="0"/>
  </c:chart>
  <c:txPr>
    <a:bodyPr/>
    <a:lstStyle/>
    <a:p>
      <a:pPr>
        <a:defRPr sz="1400"/>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03763237037001E-2"/>
          <c:y val="3.5073174426124003E-2"/>
          <c:w val="0.92765385865202099"/>
          <c:h val="0.92985365114775198"/>
        </c:manualLayout>
      </c:layout>
      <c:lineChart>
        <c:grouping val="standard"/>
        <c:varyColors val="0"/>
        <c:ser>
          <c:idx val="4"/>
          <c:order val="0"/>
          <c:tx>
            <c:v>Balance of Payments</c:v>
          </c:tx>
          <c:spPr>
            <a:ln w="38100">
              <a:solidFill>
                <a:srgbClr val="00B0F0"/>
              </a:solidFill>
            </a:ln>
          </c:spPr>
          <c:marker>
            <c:symbol val="none"/>
          </c:marker>
          <c:cat>
            <c:numRef>
              <c:f>'1974-1989'!$A$17:$A$31</c:f>
              <c:numCache>
                <c:formatCode>General</c:formatCode>
                <c:ptCount val="15"/>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numCache>
            </c:numRef>
          </c:cat>
          <c:val>
            <c:numRef>
              <c:f>'1974-1989'!$AF$3:$AF$31</c:f>
              <c:numCache>
                <c:formatCode>0.00</c:formatCode>
                <c:ptCount val="29"/>
                <c:pt idx="0">
                  <c:v>-3.3</c:v>
                </c:pt>
                <c:pt idx="1">
                  <c:v>2.8</c:v>
                </c:pt>
                <c:pt idx="2">
                  <c:v>0.753</c:v>
                </c:pt>
                <c:pt idx="3">
                  <c:v>2.339</c:v>
                </c:pt>
                <c:pt idx="4">
                  <c:v>3.2629999999999999</c:v>
                </c:pt>
                <c:pt idx="5">
                  <c:v>6.2229999999999999</c:v>
                </c:pt>
                <c:pt idx="7">
                  <c:v>-4.2309999999999999</c:v>
                </c:pt>
                <c:pt idx="8">
                  <c:v>-3.2549999999999999</c:v>
                </c:pt>
                <c:pt idx="9">
                  <c:v>-3.1219999999999999</c:v>
                </c:pt>
                <c:pt idx="10">
                  <c:v>5.45</c:v>
                </c:pt>
                <c:pt idx="11">
                  <c:v>7.96</c:v>
                </c:pt>
                <c:pt idx="12">
                  <c:v>11.88</c:v>
                </c:pt>
                <c:pt idx="13">
                  <c:v>21.17</c:v>
                </c:pt>
                <c:pt idx="14" formatCode="#,##0">
                  <c:v>39.06</c:v>
                </c:pt>
                <c:pt idx="15" formatCode="#,##0">
                  <c:v>31.79</c:v>
                </c:pt>
                <c:pt idx="16" formatCode="#,##0">
                  <c:v>50.85</c:v>
                </c:pt>
                <c:pt idx="17" formatCode="#,##0">
                  <c:v>106.35</c:v>
                </c:pt>
                <c:pt idx="18" formatCode="#,##0">
                  <c:v>169.04</c:v>
                </c:pt>
                <c:pt idx="19" formatCode="#,##0">
                  <c:v>166.56</c:v>
                </c:pt>
                <c:pt idx="20" formatCode="#,##0">
                  <c:v>167.4</c:v>
                </c:pt>
                <c:pt idx="21" formatCode="#,##0">
                  <c:v>45.17</c:v>
                </c:pt>
                <c:pt idx="22" formatCode="#,##0">
                  <c:v>-71.5</c:v>
                </c:pt>
                <c:pt idx="23" formatCode="#,##0">
                  <c:v>-39.520000000000003</c:v>
                </c:pt>
                <c:pt idx="24" formatCode="#,##0">
                  <c:v>-95.5</c:v>
                </c:pt>
                <c:pt idx="25" formatCode="#,##0">
                  <c:v>-88.68</c:v>
                </c:pt>
                <c:pt idx="26" formatCode="#,##0">
                  <c:v>-90.075000000000003</c:v>
                </c:pt>
                <c:pt idx="27" formatCode="#,##0">
                  <c:v>53.19</c:v>
                </c:pt>
                <c:pt idx="28" formatCode="#,##0">
                  <c:v>-135.30000000000001</c:v>
                </c:pt>
              </c:numCache>
            </c:numRef>
          </c:val>
          <c:smooth val="0"/>
          <c:extLst>
            <c:ext xmlns:c16="http://schemas.microsoft.com/office/drawing/2014/chart" uri="{C3380CC4-5D6E-409C-BE32-E72D297353CC}">
              <c16:uniqueId val="{00000000-6DB6-429C-8B4A-27835EAE8854}"/>
            </c:ext>
          </c:extLst>
        </c:ser>
        <c:dLbls>
          <c:showLegendKey val="0"/>
          <c:showVal val="0"/>
          <c:showCatName val="0"/>
          <c:showSerName val="0"/>
          <c:showPercent val="0"/>
          <c:showBubbleSize val="0"/>
        </c:dLbls>
        <c:smooth val="0"/>
        <c:axId val="2129498752"/>
        <c:axId val="2128374416"/>
      </c:lineChart>
      <c:catAx>
        <c:axId val="2129498752"/>
        <c:scaling>
          <c:orientation val="minMax"/>
        </c:scaling>
        <c:delete val="0"/>
        <c:axPos val="b"/>
        <c:numFmt formatCode="General" sourceLinked="1"/>
        <c:majorTickMark val="out"/>
        <c:minorTickMark val="none"/>
        <c:tickLblPos val="nextTo"/>
        <c:crossAx val="2128374416"/>
        <c:crosses val="autoZero"/>
        <c:auto val="1"/>
        <c:lblAlgn val="ctr"/>
        <c:lblOffset val="100"/>
        <c:noMultiLvlLbl val="0"/>
      </c:catAx>
      <c:valAx>
        <c:axId val="2128374416"/>
        <c:scaling>
          <c:orientation val="minMax"/>
          <c:min val="-150"/>
        </c:scaling>
        <c:delete val="0"/>
        <c:axPos val="l"/>
        <c:majorGridlines>
          <c:spPr>
            <a:ln>
              <a:solidFill>
                <a:schemeClr val="bg1"/>
              </a:solidFill>
            </a:ln>
          </c:spPr>
        </c:majorGridlines>
        <c:numFmt formatCode="0.00" sourceLinked="1"/>
        <c:majorTickMark val="out"/>
        <c:minorTickMark val="none"/>
        <c:tickLblPos val="nextTo"/>
        <c:crossAx val="2129498752"/>
        <c:crosses val="autoZero"/>
        <c:crossBetween val="between"/>
      </c:valAx>
    </c:plotArea>
    <c:legend>
      <c:legendPos val="r"/>
      <c:layout>
        <c:manualLayout>
          <c:xMode val="edge"/>
          <c:yMode val="edge"/>
          <c:x val="0.10314749678452401"/>
          <c:y val="0.83459872934582002"/>
          <c:w val="0.78096317762160194"/>
          <c:h val="0.163677278754746"/>
        </c:manualLayout>
      </c:layout>
      <c:overlay val="0"/>
    </c:legend>
    <c:plotVisOnly val="1"/>
    <c:dispBlanksAs val="gap"/>
    <c:showDLblsOverMax val="0"/>
  </c:chart>
  <c:txPr>
    <a:bodyPr/>
    <a:lstStyle/>
    <a:p>
      <a:pPr>
        <a:defRPr sz="1400"/>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03763237037001E-2"/>
          <c:y val="3.5073174426124003E-2"/>
          <c:w val="0.92765385865202099"/>
          <c:h val="0.92985365114775198"/>
        </c:manualLayout>
      </c:layout>
      <c:lineChart>
        <c:grouping val="standard"/>
        <c:varyColors val="0"/>
        <c:ser>
          <c:idx val="3"/>
          <c:order val="0"/>
          <c:tx>
            <c:strRef>
              <c:f>'1974-1989'!$AD$2</c:f>
              <c:strCache>
                <c:ptCount val="1"/>
                <c:pt idx="0">
                  <c:v>Net Capítal Inflows</c:v>
                </c:pt>
              </c:strCache>
            </c:strRef>
          </c:tx>
          <c:spPr>
            <a:ln w="38100">
              <a:solidFill>
                <a:srgbClr val="00B050"/>
              </a:solidFill>
            </a:ln>
          </c:spPr>
          <c:marker>
            <c:symbol val="none"/>
          </c:marker>
          <c:cat>
            <c:numRef>
              <c:f>'1974-1989'!$A$17:$A$31</c:f>
              <c:numCache>
                <c:formatCode>General</c:formatCode>
                <c:ptCount val="15"/>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numCache>
            </c:numRef>
          </c:cat>
          <c:val>
            <c:numRef>
              <c:f>'1974-1989'!$AD$17:$AD$31</c:f>
              <c:numCache>
                <c:formatCode>#,##0</c:formatCode>
                <c:ptCount val="15"/>
                <c:pt idx="0">
                  <c:v>94.459000000000003</c:v>
                </c:pt>
                <c:pt idx="1">
                  <c:v>119.95099999999999</c:v>
                </c:pt>
                <c:pt idx="2">
                  <c:v>160.64400000000001</c:v>
                </c:pt>
                <c:pt idx="3">
                  <c:v>258.08499999999998</c:v>
                </c:pt>
                <c:pt idx="4">
                  <c:v>383.82100000000003</c:v>
                </c:pt>
                <c:pt idx="5">
                  <c:v>353.51099999999997</c:v>
                </c:pt>
                <c:pt idx="6">
                  <c:v>463.69900000000001</c:v>
                </c:pt>
                <c:pt idx="7">
                  <c:v>432.64699999999999</c:v>
                </c:pt>
                <c:pt idx="8">
                  <c:v>327.89299999999997</c:v>
                </c:pt>
                <c:pt idx="9">
                  <c:v>216.39300000000003</c:v>
                </c:pt>
                <c:pt idx="10">
                  <c:v>194.19900000000001</c:v>
                </c:pt>
                <c:pt idx="11">
                  <c:v>106.514</c:v>
                </c:pt>
                <c:pt idx="12">
                  <c:v>7.0039999999999907</c:v>
                </c:pt>
                <c:pt idx="13">
                  <c:v>171.185</c:v>
                </c:pt>
                <c:pt idx="14">
                  <c:v>-21.544</c:v>
                </c:pt>
              </c:numCache>
            </c:numRef>
          </c:val>
          <c:smooth val="0"/>
          <c:extLst>
            <c:ext xmlns:c16="http://schemas.microsoft.com/office/drawing/2014/chart" uri="{C3380CC4-5D6E-409C-BE32-E72D297353CC}">
              <c16:uniqueId val="{00000000-8925-4016-B472-4DDDE61F1072}"/>
            </c:ext>
          </c:extLst>
        </c:ser>
        <c:dLbls>
          <c:showLegendKey val="0"/>
          <c:showVal val="0"/>
          <c:showCatName val="0"/>
          <c:showSerName val="0"/>
          <c:showPercent val="0"/>
          <c:showBubbleSize val="0"/>
        </c:dLbls>
        <c:smooth val="0"/>
        <c:axId val="2129511232"/>
        <c:axId val="2129514160"/>
      </c:lineChart>
      <c:catAx>
        <c:axId val="2129511232"/>
        <c:scaling>
          <c:orientation val="minMax"/>
        </c:scaling>
        <c:delete val="0"/>
        <c:axPos val="b"/>
        <c:numFmt formatCode="General" sourceLinked="1"/>
        <c:majorTickMark val="out"/>
        <c:minorTickMark val="none"/>
        <c:tickLblPos val="nextTo"/>
        <c:crossAx val="2129514160"/>
        <c:crosses val="autoZero"/>
        <c:auto val="1"/>
        <c:lblAlgn val="ctr"/>
        <c:lblOffset val="100"/>
        <c:noMultiLvlLbl val="0"/>
      </c:catAx>
      <c:valAx>
        <c:axId val="2129514160"/>
        <c:scaling>
          <c:orientation val="minMax"/>
        </c:scaling>
        <c:delete val="0"/>
        <c:axPos val="l"/>
        <c:majorGridlines>
          <c:spPr>
            <a:ln>
              <a:solidFill>
                <a:schemeClr val="bg1"/>
              </a:solidFill>
            </a:ln>
          </c:spPr>
        </c:majorGridlines>
        <c:numFmt formatCode="#,##0" sourceLinked="1"/>
        <c:majorTickMark val="out"/>
        <c:minorTickMark val="none"/>
        <c:tickLblPos val="nextTo"/>
        <c:crossAx val="2129511232"/>
        <c:crosses val="autoZero"/>
        <c:crossBetween val="between"/>
      </c:valAx>
    </c:plotArea>
    <c:legend>
      <c:legendPos val="r"/>
      <c:layout>
        <c:manualLayout>
          <c:xMode val="edge"/>
          <c:yMode val="edge"/>
          <c:x val="9.9301342550105198E-2"/>
          <c:y val="0.88012968255156199"/>
          <c:w val="0.78096317762160194"/>
          <c:h val="0.11814632554900401"/>
        </c:manualLayout>
      </c:layout>
      <c:overlay val="0"/>
    </c:legend>
    <c:plotVisOnly val="1"/>
    <c:dispBlanksAs val="gap"/>
    <c:showDLblsOverMax val="0"/>
  </c:chart>
  <c:txPr>
    <a:bodyPr/>
    <a:lstStyle/>
    <a:p>
      <a:pPr>
        <a:defRPr sz="1400"/>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03763237037001E-2"/>
          <c:y val="3.5073174426124003E-2"/>
          <c:w val="0.92765385865202099"/>
          <c:h val="0.92985365114775198"/>
        </c:manualLayout>
      </c:layout>
      <c:lineChart>
        <c:grouping val="standard"/>
        <c:varyColors val="0"/>
        <c:ser>
          <c:idx val="1"/>
          <c:order val="0"/>
          <c:tx>
            <c:strRef>
              <c:f>'1974-1989'!$AJ$2</c:f>
              <c:strCache>
                <c:ptCount val="1"/>
                <c:pt idx="0">
                  <c:v>Exchange Rate (Right Scale)</c:v>
                </c:pt>
              </c:strCache>
            </c:strRef>
          </c:tx>
          <c:spPr>
            <a:ln w="38100">
              <a:solidFill>
                <a:sysClr val="windowText" lastClr="000000"/>
              </a:solidFill>
            </a:ln>
          </c:spPr>
          <c:marker>
            <c:symbol val="none"/>
          </c:marker>
          <c:cat>
            <c:numRef>
              <c:f>'1974-1989'!$A$17:$A$31</c:f>
              <c:numCache>
                <c:formatCode>General</c:formatCode>
                <c:ptCount val="15"/>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numCache>
            </c:numRef>
          </c:cat>
          <c:val>
            <c:numRef>
              <c:f>'1974-1989'!$AJ$17:$AJ$31</c:f>
              <c:numCache>
                <c:formatCode>#,##0</c:formatCode>
                <c:ptCount val="15"/>
                <c:pt idx="0">
                  <c:v>100</c:v>
                </c:pt>
                <c:pt idx="1">
                  <c:v>100</c:v>
                </c:pt>
                <c:pt idx="2">
                  <c:v>102.42718446601941</c:v>
                </c:pt>
                <c:pt idx="3">
                  <c:v>102.42718446601941</c:v>
                </c:pt>
                <c:pt idx="4">
                  <c:v>102.42718446601941</c:v>
                </c:pt>
                <c:pt idx="5">
                  <c:v>102.42718446601941</c:v>
                </c:pt>
                <c:pt idx="6">
                  <c:v>102.42718446601941</c:v>
                </c:pt>
                <c:pt idx="7">
                  <c:v>102.42718446601941</c:v>
                </c:pt>
                <c:pt idx="8">
                  <c:v>102.42718446601941</c:v>
                </c:pt>
                <c:pt idx="9">
                  <c:v>102.42718446601941</c:v>
                </c:pt>
                <c:pt idx="10">
                  <c:v>194.17475728155341</c:v>
                </c:pt>
                <c:pt idx="11">
                  <c:v>194.17475728155341</c:v>
                </c:pt>
                <c:pt idx="12">
                  <c:v>258.89967637540457</c:v>
                </c:pt>
                <c:pt idx="13">
                  <c:v>258.89967637540457</c:v>
                </c:pt>
                <c:pt idx="14">
                  <c:v>323.62459546925567</c:v>
                </c:pt>
              </c:numCache>
            </c:numRef>
          </c:val>
          <c:smooth val="0"/>
          <c:extLst>
            <c:ext xmlns:c16="http://schemas.microsoft.com/office/drawing/2014/chart" uri="{C3380CC4-5D6E-409C-BE32-E72D297353CC}">
              <c16:uniqueId val="{00000000-6497-4688-BD88-6AD18340BE59}"/>
            </c:ext>
          </c:extLst>
        </c:ser>
        <c:dLbls>
          <c:showLegendKey val="0"/>
          <c:showVal val="0"/>
          <c:showCatName val="0"/>
          <c:showSerName val="0"/>
          <c:showPercent val="0"/>
          <c:showBubbleSize val="0"/>
        </c:dLbls>
        <c:smooth val="0"/>
        <c:axId val="2128392352"/>
        <c:axId val="2129530512"/>
      </c:lineChart>
      <c:catAx>
        <c:axId val="2128392352"/>
        <c:scaling>
          <c:orientation val="minMax"/>
        </c:scaling>
        <c:delete val="0"/>
        <c:axPos val="b"/>
        <c:numFmt formatCode="General" sourceLinked="1"/>
        <c:majorTickMark val="out"/>
        <c:minorTickMark val="none"/>
        <c:tickLblPos val="nextTo"/>
        <c:crossAx val="2129530512"/>
        <c:crosses val="autoZero"/>
        <c:auto val="1"/>
        <c:lblAlgn val="ctr"/>
        <c:lblOffset val="100"/>
        <c:noMultiLvlLbl val="0"/>
      </c:catAx>
      <c:valAx>
        <c:axId val="2129530512"/>
        <c:scaling>
          <c:orientation val="minMax"/>
        </c:scaling>
        <c:delete val="0"/>
        <c:axPos val="l"/>
        <c:majorGridlines>
          <c:spPr>
            <a:ln>
              <a:solidFill>
                <a:schemeClr val="bg1"/>
              </a:solidFill>
            </a:ln>
          </c:spPr>
        </c:majorGridlines>
        <c:numFmt formatCode="#,##0" sourceLinked="1"/>
        <c:majorTickMark val="out"/>
        <c:minorTickMark val="none"/>
        <c:tickLblPos val="nextTo"/>
        <c:crossAx val="2128392352"/>
        <c:crosses val="autoZero"/>
        <c:crossBetween val="between"/>
      </c:valAx>
    </c:plotArea>
    <c:legend>
      <c:legendPos val="r"/>
      <c:layout>
        <c:manualLayout>
          <c:xMode val="edge"/>
          <c:yMode val="edge"/>
          <c:x val="0.10571159960746999"/>
          <c:y val="3.4961363669974099E-2"/>
          <c:w val="0.78096317762160194"/>
          <c:h val="0.163677278754746"/>
        </c:manualLayout>
      </c:layout>
      <c:overlay val="0"/>
    </c:legend>
    <c:plotVisOnly val="1"/>
    <c:dispBlanksAs val="gap"/>
    <c:showDLblsOverMax val="0"/>
  </c:chart>
  <c:txPr>
    <a:bodyPr/>
    <a:lstStyle/>
    <a:p>
      <a:pPr>
        <a:defRPr sz="1400"/>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03763237037001E-2"/>
          <c:y val="3.5073174426124003E-2"/>
          <c:w val="0.92765385865202099"/>
          <c:h val="0.92985365114775198"/>
        </c:manualLayout>
      </c:layout>
      <c:lineChart>
        <c:grouping val="standard"/>
        <c:varyColors val="0"/>
        <c:ser>
          <c:idx val="0"/>
          <c:order val="0"/>
          <c:tx>
            <c:strRef>
              <c:f>'1974-1989'!$O$2</c:f>
              <c:strCache>
                <c:ptCount val="1"/>
                <c:pt idx="0">
                  <c:v>Current Account/GDP</c:v>
                </c:pt>
              </c:strCache>
            </c:strRef>
          </c:tx>
          <c:spPr>
            <a:ln w="38100">
              <a:solidFill>
                <a:schemeClr val="accent6">
                  <a:lumMod val="75000"/>
                </a:schemeClr>
              </a:solidFill>
            </a:ln>
          </c:spPr>
          <c:marker>
            <c:symbol val="none"/>
          </c:marker>
          <c:cat>
            <c:numRef>
              <c:f>'1974-1989'!$A$17:$A$31</c:f>
              <c:numCache>
                <c:formatCode>General</c:formatCode>
                <c:ptCount val="15"/>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numCache>
            </c:numRef>
          </c:cat>
          <c:val>
            <c:numRef>
              <c:f>'1974-1989'!$O$17:$O$31</c:f>
              <c:numCache>
                <c:formatCode>0%</c:formatCode>
                <c:ptCount val="15"/>
                <c:pt idx="0">
                  <c:v>-4.8392865535991515E-2</c:v>
                </c:pt>
                <c:pt idx="1">
                  <c:v>-7.662757010401787E-2</c:v>
                </c:pt>
                <c:pt idx="2">
                  <c:v>-7.1021912069761439E-2</c:v>
                </c:pt>
                <c:pt idx="3">
                  <c:v>-7.041533443964057E-2</c:v>
                </c:pt>
                <c:pt idx="4">
                  <c:v>-5.0477185145588792E-2</c:v>
                </c:pt>
                <c:pt idx="5">
                  <c:v>-6.8058554685683753E-2</c:v>
                </c:pt>
                <c:pt idx="6">
                  <c:v>-7.0018869207550016E-2</c:v>
                </c:pt>
                <c:pt idx="7">
                  <c:v>-7.2856743992561077E-2</c:v>
                </c:pt>
                <c:pt idx="8">
                  <c:v>-7.7515318318443466E-2</c:v>
                </c:pt>
                <c:pt idx="9">
                  <c:v>-4.8417616446505482E-2</c:v>
                </c:pt>
                <c:pt idx="10">
                  <c:v>-7.9384884660067351E-2</c:v>
                </c:pt>
                <c:pt idx="11">
                  <c:v>-6.2544019647562302E-2</c:v>
                </c:pt>
                <c:pt idx="12">
                  <c:v>-0.10747599944311897</c:v>
                </c:pt>
                <c:pt idx="13">
                  <c:v>-4.24450956088364E-2</c:v>
                </c:pt>
                <c:pt idx="14">
                  <c:v>-3.9217161173390559E-2</c:v>
                </c:pt>
              </c:numCache>
            </c:numRef>
          </c:val>
          <c:smooth val="0"/>
          <c:extLst>
            <c:ext xmlns:c16="http://schemas.microsoft.com/office/drawing/2014/chart" uri="{C3380CC4-5D6E-409C-BE32-E72D297353CC}">
              <c16:uniqueId val="{00000000-5BA1-4157-AE2B-25E4A43271CD}"/>
            </c:ext>
          </c:extLst>
        </c:ser>
        <c:dLbls>
          <c:showLegendKey val="0"/>
          <c:showVal val="0"/>
          <c:showCatName val="0"/>
          <c:showSerName val="0"/>
          <c:showPercent val="0"/>
          <c:showBubbleSize val="0"/>
        </c:dLbls>
        <c:smooth val="0"/>
        <c:axId val="2128412848"/>
        <c:axId val="2129544848"/>
      </c:lineChart>
      <c:catAx>
        <c:axId val="2128412848"/>
        <c:scaling>
          <c:orientation val="minMax"/>
        </c:scaling>
        <c:delete val="0"/>
        <c:axPos val="b"/>
        <c:numFmt formatCode="General" sourceLinked="1"/>
        <c:majorTickMark val="out"/>
        <c:minorTickMark val="none"/>
        <c:tickLblPos val="nextTo"/>
        <c:crossAx val="2129544848"/>
        <c:crosses val="autoZero"/>
        <c:auto val="1"/>
        <c:lblAlgn val="ctr"/>
        <c:lblOffset val="100"/>
        <c:noMultiLvlLbl val="0"/>
      </c:catAx>
      <c:valAx>
        <c:axId val="2129544848"/>
        <c:scaling>
          <c:orientation val="minMax"/>
        </c:scaling>
        <c:delete val="0"/>
        <c:axPos val="l"/>
        <c:majorGridlines>
          <c:spPr>
            <a:ln>
              <a:solidFill>
                <a:schemeClr val="bg1"/>
              </a:solidFill>
            </a:ln>
          </c:spPr>
        </c:majorGridlines>
        <c:numFmt formatCode="0%" sourceLinked="1"/>
        <c:majorTickMark val="out"/>
        <c:minorTickMark val="none"/>
        <c:tickLblPos val="nextTo"/>
        <c:crossAx val="2128412848"/>
        <c:crosses val="autoZero"/>
        <c:crossBetween val="between"/>
      </c:valAx>
    </c:plotArea>
    <c:legend>
      <c:legendPos val="r"/>
      <c:layout>
        <c:manualLayout>
          <c:xMode val="edge"/>
          <c:yMode val="edge"/>
          <c:x val="9.4871804449000993E-2"/>
          <c:y val="0.88222348853626897"/>
          <c:w val="0.78096317762160194"/>
          <c:h val="0.11530064097364499"/>
        </c:manualLayout>
      </c:layout>
      <c:overlay val="0"/>
    </c:legend>
    <c:plotVisOnly val="1"/>
    <c:dispBlanksAs val="gap"/>
    <c:showDLblsOverMax val="0"/>
  </c:chart>
  <c:txPr>
    <a:bodyPr/>
    <a:lstStyle/>
    <a:p>
      <a:pPr>
        <a:defRPr sz="1400"/>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03763237037001E-2"/>
          <c:y val="3.5073174426124003E-2"/>
          <c:w val="0.92765385865202099"/>
          <c:h val="0.92985365114775198"/>
        </c:manualLayout>
      </c:layout>
      <c:lineChart>
        <c:grouping val="standard"/>
        <c:varyColors val="0"/>
        <c:ser>
          <c:idx val="4"/>
          <c:order val="0"/>
          <c:tx>
            <c:strRef>
              <c:f>'1974-1989'!$AG$2</c:f>
              <c:strCache>
                <c:ptCount val="1"/>
                <c:pt idx="0">
                  <c:v>Balance of Payments/GDP</c:v>
                </c:pt>
              </c:strCache>
            </c:strRef>
          </c:tx>
          <c:spPr>
            <a:ln w="38100">
              <a:solidFill>
                <a:srgbClr val="00B0F0"/>
              </a:solidFill>
            </a:ln>
          </c:spPr>
          <c:marker>
            <c:symbol val="none"/>
          </c:marker>
          <c:cat>
            <c:numRef>
              <c:f>'1974-1989'!$A$17:$A$31</c:f>
              <c:numCache>
                <c:formatCode>General</c:formatCode>
                <c:ptCount val="15"/>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numCache>
            </c:numRef>
          </c:cat>
          <c:val>
            <c:numRef>
              <c:f>'1974-1989'!$AG$17:$AG$31</c:f>
              <c:numCache>
                <c:formatCode>0%</c:formatCode>
                <c:ptCount val="15"/>
                <c:pt idx="0">
                  <c:v>3.2560338446520058E-2</c:v>
                </c:pt>
                <c:pt idx="1">
                  <c:v>2.3515237215293923E-2</c:v>
                </c:pt>
                <c:pt idx="2">
                  <c:v>3.3001902814052284E-2</c:v>
                </c:pt>
                <c:pt idx="3">
                  <c:v>5.5612107751102965E-2</c:v>
                </c:pt>
                <c:pt idx="4">
                  <c:v>7.1921841037528689E-2</c:v>
                </c:pt>
                <c:pt idx="5">
                  <c:v>5.3127087286276957E-2</c:v>
                </c:pt>
                <c:pt idx="6">
                  <c:v>4.0881012804899211E-2</c:v>
                </c:pt>
                <c:pt idx="7">
                  <c:v>8.6540577687948105E-3</c:v>
                </c:pt>
                <c:pt idx="8">
                  <c:v>-1.4109660670736645E-2</c:v>
                </c:pt>
                <c:pt idx="9">
                  <c:v>-7.5456819119735343E-3</c:v>
                </c:pt>
                <c:pt idx="10">
                  <c:v>-2.3509302884951989E-2</c:v>
                </c:pt>
                <c:pt idx="11">
                  <c:v>-2.991684554163471E-2</c:v>
                </c:pt>
                <c:pt idx="12">
                  <c:v>-2.61665057986365E-2</c:v>
                </c:pt>
                <c:pt idx="13">
                  <c:v>1.4077698807352998E-2</c:v>
                </c:pt>
                <c:pt idx="14">
                  <c:v>-3.3140434995907429E-2</c:v>
                </c:pt>
              </c:numCache>
            </c:numRef>
          </c:val>
          <c:smooth val="0"/>
          <c:extLst>
            <c:ext xmlns:c16="http://schemas.microsoft.com/office/drawing/2014/chart" uri="{C3380CC4-5D6E-409C-BE32-E72D297353CC}">
              <c16:uniqueId val="{00000000-0296-4250-BB60-EB2A712E1EA3}"/>
            </c:ext>
          </c:extLst>
        </c:ser>
        <c:dLbls>
          <c:showLegendKey val="0"/>
          <c:showVal val="0"/>
          <c:showCatName val="0"/>
          <c:showSerName val="0"/>
          <c:showPercent val="0"/>
          <c:showBubbleSize val="0"/>
        </c:dLbls>
        <c:smooth val="0"/>
        <c:axId val="2129562400"/>
        <c:axId val="2128425952"/>
      </c:lineChart>
      <c:catAx>
        <c:axId val="2129562400"/>
        <c:scaling>
          <c:orientation val="minMax"/>
        </c:scaling>
        <c:delete val="0"/>
        <c:axPos val="b"/>
        <c:numFmt formatCode="General" sourceLinked="1"/>
        <c:majorTickMark val="out"/>
        <c:minorTickMark val="none"/>
        <c:tickLblPos val="nextTo"/>
        <c:crossAx val="2128425952"/>
        <c:crosses val="autoZero"/>
        <c:auto val="1"/>
        <c:lblAlgn val="ctr"/>
        <c:lblOffset val="100"/>
        <c:noMultiLvlLbl val="0"/>
      </c:catAx>
      <c:valAx>
        <c:axId val="2128425952"/>
        <c:scaling>
          <c:orientation val="minMax"/>
        </c:scaling>
        <c:delete val="0"/>
        <c:axPos val="l"/>
        <c:majorGridlines>
          <c:spPr>
            <a:ln>
              <a:solidFill>
                <a:schemeClr val="bg1"/>
              </a:solidFill>
            </a:ln>
          </c:spPr>
        </c:majorGridlines>
        <c:numFmt formatCode="0%" sourceLinked="1"/>
        <c:majorTickMark val="out"/>
        <c:minorTickMark val="none"/>
        <c:tickLblPos val="nextTo"/>
        <c:crossAx val="2129562400"/>
        <c:crosses val="autoZero"/>
        <c:crossBetween val="between"/>
      </c:valAx>
    </c:plotArea>
    <c:legend>
      <c:legendPos val="r"/>
      <c:layout>
        <c:manualLayout>
          <c:xMode val="edge"/>
          <c:yMode val="edge"/>
          <c:x val="0.105128215740785"/>
          <c:y val="0.88222369206967599"/>
          <c:w val="0.78096317762160194"/>
          <c:h val="0.11530064097364499"/>
        </c:manualLayout>
      </c:layout>
      <c:overlay val="0"/>
    </c:legend>
    <c:plotVisOnly val="1"/>
    <c:dispBlanksAs val="gap"/>
    <c:showDLblsOverMax val="0"/>
  </c:chart>
  <c:txPr>
    <a:bodyPr/>
    <a:lstStyle/>
    <a:p>
      <a:pPr>
        <a:defRPr sz="1400"/>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03763237037001E-2"/>
          <c:y val="3.5073174426124003E-2"/>
          <c:w val="0.92765385865202099"/>
          <c:h val="0.92985365114775198"/>
        </c:manualLayout>
      </c:layout>
      <c:lineChart>
        <c:grouping val="standard"/>
        <c:varyColors val="0"/>
        <c:ser>
          <c:idx val="3"/>
          <c:order val="0"/>
          <c:tx>
            <c:strRef>
              <c:f>'1974-1989'!$AE$2</c:f>
              <c:strCache>
                <c:ptCount val="1"/>
                <c:pt idx="0">
                  <c:v>Net Capítal Inflows/GDP</c:v>
                </c:pt>
              </c:strCache>
            </c:strRef>
          </c:tx>
          <c:spPr>
            <a:ln w="38100">
              <a:solidFill>
                <a:srgbClr val="00B050"/>
              </a:solidFill>
            </a:ln>
          </c:spPr>
          <c:marker>
            <c:symbol val="none"/>
          </c:marker>
          <c:cat>
            <c:numRef>
              <c:f>'1974-1989'!$A$17:$A$31</c:f>
              <c:numCache>
                <c:formatCode>General</c:formatCode>
                <c:ptCount val="15"/>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numCache>
            </c:numRef>
          </c:cat>
          <c:val>
            <c:numRef>
              <c:f>'1974-1989'!$AE$17:$AE$31</c:f>
              <c:numCache>
                <c:formatCode>0%</c:formatCode>
                <c:ptCount val="15"/>
                <c:pt idx="0">
                  <c:v>7.8740834852018382E-2</c:v>
                </c:pt>
                <c:pt idx="1">
                  <c:v>8.8728412054473779E-2</c:v>
                </c:pt>
                <c:pt idx="2">
                  <c:v>0.10425875468359123</c:v>
                </c:pt>
                <c:pt idx="3">
                  <c:v>0.13495675438592769</c:v>
                </c:pt>
                <c:pt idx="4">
                  <c:v>0.16330521148169252</c:v>
                </c:pt>
                <c:pt idx="5">
                  <c:v>0.11275822378517682</c:v>
                </c:pt>
                <c:pt idx="6">
                  <c:v>0.11324064968111684</c:v>
                </c:pt>
                <c:pt idx="7">
                  <c:v>8.2890239794017453E-2</c:v>
                </c:pt>
                <c:pt idx="8">
                  <c:v>6.4705719808529377E-2</c:v>
                </c:pt>
                <c:pt idx="9">
                  <c:v>4.1316618066237071E-2</c:v>
                </c:pt>
                <c:pt idx="10">
                  <c:v>4.7806105873872164E-2</c:v>
                </c:pt>
                <c:pt idx="11">
                  <c:v>3.593327566555795E-2</c:v>
                </c:pt>
                <c:pt idx="12">
                  <c:v>2.0346400956275305E-3</c:v>
                </c:pt>
                <c:pt idx="13">
                  <c:v>4.53072169644054E-2</c:v>
                </c:pt>
                <c:pt idx="14">
                  <c:v>-5.2769957986092365E-3</c:v>
                </c:pt>
              </c:numCache>
            </c:numRef>
          </c:val>
          <c:smooth val="0"/>
          <c:extLst>
            <c:ext xmlns:c16="http://schemas.microsoft.com/office/drawing/2014/chart" uri="{C3380CC4-5D6E-409C-BE32-E72D297353CC}">
              <c16:uniqueId val="{00000000-E25A-408D-84D2-7BCDA5FC030B}"/>
            </c:ext>
          </c:extLst>
        </c:ser>
        <c:dLbls>
          <c:showLegendKey val="0"/>
          <c:showVal val="0"/>
          <c:showCatName val="0"/>
          <c:showSerName val="0"/>
          <c:showPercent val="0"/>
          <c:showBubbleSize val="0"/>
        </c:dLbls>
        <c:smooth val="0"/>
        <c:axId val="2128442624"/>
        <c:axId val="2129575104"/>
      </c:lineChart>
      <c:catAx>
        <c:axId val="2128442624"/>
        <c:scaling>
          <c:orientation val="minMax"/>
        </c:scaling>
        <c:delete val="0"/>
        <c:axPos val="b"/>
        <c:numFmt formatCode="General" sourceLinked="1"/>
        <c:majorTickMark val="out"/>
        <c:minorTickMark val="none"/>
        <c:tickLblPos val="nextTo"/>
        <c:crossAx val="2129575104"/>
        <c:crosses val="autoZero"/>
        <c:auto val="1"/>
        <c:lblAlgn val="ctr"/>
        <c:lblOffset val="100"/>
        <c:noMultiLvlLbl val="0"/>
      </c:catAx>
      <c:valAx>
        <c:axId val="2129575104"/>
        <c:scaling>
          <c:orientation val="minMax"/>
        </c:scaling>
        <c:delete val="0"/>
        <c:axPos val="l"/>
        <c:majorGridlines>
          <c:spPr>
            <a:ln>
              <a:solidFill>
                <a:schemeClr val="bg1"/>
              </a:solidFill>
            </a:ln>
          </c:spPr>
        </c:majorGridlines>
        <c:numFmt formatCode="0%" sourceLinked="1"/>
        <c:majorTickMark val="out"/>
        <c:minorTickMark val="none"/>
        <c:tickLblPos val="nextTo"/>
        <c:crossAx val="2128442624"/>
        <c:crosses val="autoZero"/>
        <c:crossBetween val="between"/>
      </c:valAx>
    </c:plotArea>
    <c:legend>
      <c:legendPos val="r"/>
      <c:layout>
        <c:manualLayout>
          <c:xMode val="edge"/>
          <c:yMode val="edge"/>
          <c:x val="0.11153847279815"/>
          <c:y val="1.4964752878965501E-2"/>
          <c:w val="0.78096317762160194"/>
          <c:h val="0.11530064097364499"/>
        </c:manualLayout>
      </c:layout>
      <c:overlay val="0"/>
    </c:legend>
    <c:plotVisOnly val="1"/>
    <c:dispBlanksAs val="gap"/>
    <c:showDLblsOverMax val="0"/>
  </c:chart>
  <c:txPr>
    <a:bodyPr/>
    <a:lstStyle/>
    <a:p>
      <a:pPr>
        <a:defRPr sz="1400"/>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03763237037001E-2"/>
          <c:y val="3.5073174426124003E-2"/>
          <c:w val="0.92765385865202099"/>
          <c:h val="0.92985365114775198"/>
        </c:manualLayout>
      </c:layout>
      <c:lineChart>
        <c:grouping val="standard"/>
        <c:varyColors val="0"/>
        <c:ser>
          <c:idx val="1"/>
          <c:order val="0"/>
          <c:tx>
            <c:strRef>
              <c:f>'1974-1989'!$AJ$2</c:f>
              <c:strCache>
                <c:ptCount val="1"/>
                <c:pt idx="0">
                  <c:v>Exchange Rate (Right Scale)</c:v>
                </c:pt>
              </c:strCache>
            </c:strRef>
          </c:tx>
          <c:spPr>
            <a:ln w="38100">
              <a:solidFill>
                <a:sysClr val="windowText" lastClr="000000"/>
              </a:solidFill>
            </a:ln>
          </c:spPr>
          <c:marker>
            <c:symbol val="none"/>
          </c:marker>
          <c:cat>
            <c:numRef>
              <c:f>'1974-1989'!$A$17:$A$31</c:f>
              <c:numCache>
                <c:formatCode>General</c:formatCode>
                <c:ptCount val="15"/>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numCache>
            </c:numRef>
          </c:cat>
          <c:val>
            <c:numRef>
              <c:f>'1974-1989'!$AJ$17:$AJ$31</c:f>
              <c:numCache>
                <c:formatCode>#,##0</c:formatCode>
                <c:ptCount val="15"/>
                <c:pt idx="0">
                  <c:v>100</c:v>
                </c:pt>
                <c:pt idx="1">
                  <c:v>100</c:v>
                </c:pt>
                <c:pt idx="2">
                  <c:v>102.42718446601941</c:v>
                </c:pt>
                <c:pt idx="3">
                  <c:v>102.42718446601941</c:v>
                </c:pt>
                <c:pt idx="4">
                  <c:v>102.42718446601941</c:v>
                </c:pt>
                <c:pt idx="5">
                  <c:v>102.42718446601941</c:v>
                </c:pt>
                <c:pt idx="6">
                  <c:v>102.42718446601941</c:v>
                </c:pt>
                <c:pt idx="7">
                  <c:v>102.42718446601941</c:v>
                </c:pt>
                <c:pt idx="8">
                  <c:v>102.42718446601941</c:v>
                </c:pt>
                <c:pt idx="9">
                  <c:v>102.42718446601941</c:v>
                </c:pt>
                <c:pt idx="10">
                  <c:v>194.17475728155341</c:v>
                </c:pt>
                <c:pt idx="11">
                  <c:v>194.17475728155341</c:v>
                </c:pt>
                <c:pt idx="12">
                  <c:v>258.89967637540457</c:v>
                </c:pt>
                <c:pt idx="13">
                  <c:v>258.89967637540457</c:v>
                </c:pt>
                <c:pt idx="14">
                  <c:v>323.62459546925567</c:v>
                </c:pt>
              </c:numCache>
            </c:numRef>
          </c:val>
          <c:smooth val="0"/>
          <c:extLst>
            <c:ext xmlns:c16="http://schemas.microsoft.com/office/drawing/2014/chart" uri="{C3380CC4-5D6E-409C-BE32-E72D297353CC}">
              <c16:uniqueId val="{00000000-9FA9-4864-BBDB-181CED3A7566}"/>
            </c:ext>
          </c:extLst>
        </c:ser>
        <c:dLbls>
          <c:showLegendKey val="0"/>
          <c:showVal val="0"/>
          <c:showCatName val="0"/>
          <c:showSerName val="0"/>
          <c:showPercent val="0"/>
          <c:showBubbleSize val="0"/>
        </c:dLbls>
        <c:smooth val="0"/>
        <c:axId val="2128459232"/>
        <c:axId val="2129585776"/>
      </c:lineChart>
      <c:catAx>
        <c:axId val="2128459232"/>
        <c:scaling>
          <c:orientation val="minMax"/>
        </c:scaling>
        <c:delete val="0"/>
        <c:axPos val="b"/>
        <c:numFmt formatCode="General" sourceLinked="1"/>
        <c:majorTickMark val="out"/>
        <c:minorTickMark val="none"/>
        <c:tickLblPos val="nextTo"/>
        <c:crossAx val="2129585776"/>
        <c:crosses val="autoZero"/>
        <c:auto val="1"/>
        <c:lblAlgn val="ctr"/>
        <c:lblOffset val="100"/>
        <c:noMultiLvlLbl val="0"/>
      </c:catAx>
      <c:valAx>
        <c:axId val="2129585776"/>
        <c:scaling>
          <c:orientation val="minMax"/>
        </c:scaling>
        <c:delete val="0"/>
        <c:axPos val="l"/>
        <c:majorGridlines>
          <c:spPr>
            <a:ln>
              <a:solidFill>
                <a:schemeClr val="bg1"/>
              </a:solidFill>
            </a:ln>
          </c:spPr>
        </c:majorGridlines>
        <c:numFmt formatCode="#,##0" sourceLinked="1"/>
        <c:majorTickMark val="out"/>
        <c:minorTickMark val="none"/>
        <c:tickLblPos val="nextTo"/>
        <c:crossAx val="2128459232"/>
        <c:crosses val="autoZero"/>
        <c:crossBetween val="between"/>
      </c:valAx>
    </c:plotArea>
    <c:legend>
      <c:legendPos val="r"/>
      <c:layout>
        <c:manualLayout>
          <c:xMode val="edge"/>
          <c:yMode val="edge"/>
          <c:x val="0.10571159960746999"/>
          <c:y val="3.4961363669974099E-2"/>
          <c:w val="0.78096317762160194"/>
          <c:h val="0.163677278754746"/>
        </c:manualLayout>
      </c:layout>
      <c:overlay val="0"/>
    </c:legend>
    <c:plotVisOnly val="1"/>
    <c:dispBlanksAs val="gap"/>
    <c:showDLblsOverMax val="0"/>
  </c:chart>
  <c:txPr>
    <a:bodyPr/>
    <a:lstStyle/>
    <a:p>
      <a:pPr>
        <a:defRPr sz="140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063017646567799E-2"/>
          <c:y val="5.0925973973286402E-2"/>
          <c:w val="0.91870102387146702"/>
          <c:h val="0.74734324876057201"/>
        </c:manualLayout>
      </c:layout>
      <c:barChart>
        <c:barDir val="col"/>
        <c:grouping val="clustered"/>
        <c:varyColors val="0"/>
        <c:ser>
          <c:idx val="0"/>
          <c:order val="0"/>
          <c:tx>
            <c:v>Public Companies</c:v>
          </c:tx>
          <c:spPr>
            <a:solidFill>
              <a:srgbClr val="00CCFF"/>
            </a:solidFill>
          </c:spPr>
          <c:invertIfNegative val="0"/>
          <c:cat>
            <c:numRef>
              <c:f>Deficit!$B$7:$B$60</c:f>
              <c:numCache>
                <c:formatCode>General</c:formatCode>
                <c:ptCount val="54"/>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numCache>
            </c:numRef>
          </c:cat>
          <c:val>
            <c:numRef>
              <c:f>Deficit!$R$7:$R$60</c:f>
              <c:numCache>
                <c:formatCode>0.0%</c:formatCode>
                <c:ptCount val="54"/>
                <c:pt idx="0">
                  <c:v>5.1406448162944038E-4</c:v>
                </c:pt>
                <c:pt idx="1">
                  <c:v>6.9061684991081172E-5</c:v>
                </c:pt>
                <c:pt idx="2">
                  <c:v>-3.067828155536116E-3</c:v>
                </c:pt>
                <c:pt idx="3">
                  <c:v>-4.5620129324397825E-4</c:v>
                </c:pt>
                <c:pt idx="4">
                  <c:v>1.8951992219469523E-2</c:v>
                </c:pt>
                <c:pt idx="5">
                  <c:v>3.8335767390488495E-2</c:v>
                </c:pt>
                <c:pt idx="6">
                  <c:v>2.3709071583512001E-2</c:v>
                </c:pt>
                <c:pt idx="7">
                  <c:v>9.8585460064517707E-3</c:v>
                </c:pt>
                <c:pt idx="8">
                  <c:v>1.9669232812347453E-3</c:v>
                </c:pt>
                <c:pt idx="9">
                  <c:v>1.062028207701376E-2</c:v>
                </c:pt>
                <c:pt idx="10">
                  <c:v>1.6048485516926708E-2</c:v>
                </c:pt>
                <c:pt idx="11">
                  <c:v>1.4376356656353142E-2</c:v>
                </c:pt>
                <c:pt idx="12">
                  <c:v>1.3013391226421086E-2</c:v>
                </c:pt>
                <c:pt idx="13">
                  <c:v>4.8173025863563305E-2</c:v>
                </c:pt>
                <c:pt idx="14">
                  <c:v>7.5897525864284986E-3</c:v>
                </c:pt>
                <c:pt idx="15">
                  <c:v>1.7376993930242557E-2</c:v>
                </c:pt>
                <c:pt idx="16">
                  <c:v>2.174062254223294E-2</c:v>
                </c:pt>
                <c:pt idx="18">
                  <c:v>1.1280247602193842E-3</c:v>
                </c:pt>
                <c:pt idx="19">
                  <c:v>2.9924317110647581E-3</c:v>
                </c:pt>
                <c:pt idx="20">
                  <c:v>8.0415198927624946E-3</c:v>
                </c:pt>
                <c:pt idx="21">
                  <c:v>2.6025770847808164E-2</c:v>
                </c:pt>
                <c:pt idx="22">
                  <c:v>2.9327608169370415E-2</c:v>
                </c:pt>
                <c:pt idx="23">
                  <c:v>7.4226256266123761E-3</c:v>
                </c:pt>
                <c:pt idx="24">
                  <c:v>1.7390480090313729E-2</c:v>
                </c:pt>
                <c:pt idx="25">
                  <c:v>1.9581084665361678E-2</c:v>
                </c:pt>
                <c:pt idx="26">
                  <c:v>2.1751289973645151E-2</c:v>
                </c:pt>
                <c:pt idx="27">
                  <c:v>3.8628676789300612E-2</c:v>
                </c:pt>
                <c:pt idx="28">
                  <c:v>-1.4971390003257727E-2</c:v>
                </c:pt>
                <c:pt idx="29">
                  <c:v>-1.3819183735916429E-2</c:v>
                </c:pt>
                <c:pt idx="30">
                  <c:v>-8.2481526834349127E-3</c:v>
                </c:pt>
                <c:pt idx="31">
                  <c:v>-7.5471152047318505E-3</c:v>
                </c:pt>
                <c:pt idx="32">
                  <c:v>-3.9468176964825869E-3</c:v>
                </c:pt>
                <c:pt idx="33">
                  <c:v>-1.1996248052624068E-2</c:v>
                </c:pt>
                <c:pt idx="34">
                  <c:v>-9.4216112480821571E-3</c:v>
                </c:pt>
                <c:pt idx="35">
                  <c:v>2.4582927908444285E-3</c:v>
                </c:pt>
                <c:pt idx="36">
                  <c:v>-3.4006366886607871E-3</c:v>
                </c:pt>
                <c:pt idx="37">
                  <c:v>2.3314288534473809E-3</c:v>
                </c:pt>
                <c:pt idx="38">
                  <c:v>-7.4886755608014662E-3</c:v>
                </c:pt>
                <c:pt idx="39">
                  <c:v>-1.0905209278484122E-2</c:v>
                </c:pt>
                <c:pt idx="40">
                  <c:v>-1.8856337951440709E-3</c:v>
                </c:pt>
                <c:pt idx="41">
                  <c:v>-7.8652101016404505E-3</c:v>
                </c:pt>
                <c:pt idx="42">
                  <c:v>-2.9202359058097919E-3</c:v>
                </c:pt>
                <c:pt idx="43">
                  <c:v>-3.6817837639373059E-3</c:v>
                </c:pt>
                <c:pt idx="44">
                  <c:v>-1.0076361881561243E-2</c:v>
                </c:pt>
                <c:pt idx="45">
                  <c:v>-2.803494709473458E-3</c:v>
                </c:pt>
                <c:pt idx="46">
                  <c:v>-7.9085593862396656E-4</c:v>
                </c:pt>
                <c:pt idx="47">
                  <c:v>1.0648735231610841E-2</c:v>
                </c:pt>
                <c:pt idx="48">
                  <c:v>9.2537720417200098E-3</c:v>
                </c:pt>
                <c:pt idx="49">
                  <c:v>-6.4652119046869989E-4</c:v>
                </c:pt>
                <c:pt idx="50">
                  <c:v>3.2925546051456641E-3</c:v>
                </c:pt>
                <c:pt idx="51">
                  <c:v>-1.8084385978374355E-4</c:v>
                </c:pt>
                <c:pt idx="52">
                  <c:v>-1.4730565306377285E-4</c:v>
                </c:pt>
                <c:pt idx="53">
                  <c:v>-1.1105369430858875E-3</c:v>
                </c:pt>
              </c:numCache>
            </c:numRef>
          </c:val>
          <c:extLst>
            <c:ext xmlns:c16="http://schemas.microsoft.com/office/drawing/2014/chart" uri="{C3380CC4-5D6E-409C-BE32-E72D297353CC}">
              <c16:uniqueId val="{00000000-7969-479D-8764-C63CC032CEFA}"/>
            </c:ext>
          </c:extLst>
        </c:ser>
        <c:ser>
          <c:idx val="1"/>
          <c:order val="1"/>
          <c:tx>
            <c:v>Total Deficit</c:v>
          </c:tx>
          <c:spPr>
            <a:solidFill>
              <a:schemeClr val="tx1"/>
            </a:solidFill>
          </c:spPr>
          <c:invertIfNegative val="0"/>
          <c:cat>
            <c:numRef>
              <c:f>Deficit!$B$7:$B$60</c:f>
              <c:numCache>
                <c:formatCode>General</c:formatCode>
                <c:ptCount val="54"/>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numCache>
            </c:numRef>
          </c:cat>
          <c:val>
            <c:numRef>
              <c:f>Deficit!$O$7:$O$60</c:f>
              <c:numCache>
                <c:formatCode>0.0%</c:formatCode>
                <c:ptCount val="54"/>
                <c:pt idx="0">
                  <c:v>3.6131389280240752E-3</c:v>
                </c:pt>
                <c:pt idx="1">
                  <c:v>9.8735188975582304E-3</c:v>
                </c:pt>
                <c:pt idx="2">
                  <c:v>7.833764008432352E-3</c:v>
                </c:pt>
                <c:pt idx="3">
                  <c:v>3.6496103459517538E-4</c:v>
                </c:pt>
                <c:pt idx="4">
                  <c:v>1.598592074599544E-2</c:v>
                </c:pt>
                <c:pt idx="5">
                  <c:v>4.6463442237513655E-2</c:v>
                </c:pt>
                <c:pt idx="6">
                  <c:v>3.4483804746657534E-2</c:v>
                </c:pt>
                <c:pt idx="7">
                  <c:v>1.4884562474178104E-2</c:v>
                </c:pt>
                <c:pt idx="8">
                  <c:v>9.2488782231589673E-3</c:v>
                </c:pt>
                <c:pt idx="9">
                  <c:v>2.0753203970370698E-2</c:v>
                </c:pt>
                <c:pt idx="10">
                  <c:v>3.2757121501925578E-2</c:v>
                </c:pt>
                <c:pt idx="11">
                  <c:v>1.436118607515152E-2</c:v>
                </c:pt>
                <c:pt idx="12">
                  <c:v>3.1484864690664921E-3</c:v>
                </c:pt>
                <c:pt idx="13">
                  <c:v>4.5265865912841666E-2</c:v>
                </c:pt>
                <c:pt idx="14">
                  <c:v>3.4036705185693517E-3</c:v>
                </c:pt>
                <c:pt idx="15">
                  <c:v>2.7141826157432666E-3</c:v>
                </c:pt>
                <c:pt idx="16">
                  <c:v>-3.1522096117258358E-3</c:v>
                </c:pt>
                <c:pt idx="17">
                  <c:v>-1.6188823856589221E-2</c:v>
                </c:pt>
                <c:pt idx="18">
                  <c:v>-3.9105873964193471E-3</c:v>
                </c:pt>
                <c:pt idx="19">
                  <c:v>2.9987257343570429E-2</c:v>
                </c:pt>
                <c:pt idx="20">
                  <c:v>1.1159826291363382E-2</c:v>
                </c:pt>
                <c:pt idx="21">
                  <c:v>5.2643284437978277E-2</c:v>
                </c:pt>
                <c:pt idx="22">
                  <c:v>7.9750207562674771E-2</c:v>
                </c:pt>
                <c:pt idx="23">
                  <c:v>4.7965811282529275E-2</c:v>
                </c:pt>
                <c:pt idx="24">
                  <c:v>3.1219422971784122E-2</c:v>
                </c:pt>
                <c:pt idx="25">
                  <c:v>1.1496706780571467E-2</c:v>
                </c:pt>
                <c:pt idx="26">
                  <c:v>2.2936929130865535E-2</c:v>
                </c:pt>
                <c:pt idx="27">
                  <c:v>4.035281154167002E-3</c:v>
                </c:pt>
                <c:pt idx="28">
                  <c:v>-5.151015390596235E-2</c:v>
                </c:pt>
                <c:pt idx="29">
                  <c:v>-1.8305075787229504E-2</c:v>
                </c:pt>
                <c:pt idx="30">
                  <c:v>-1.932245543446399E-3</c:v>
                </c:pt>
                <c:pt idx="31">
                  <c:v>-1.5769576859947898E-2</c:v>
                </c:pt>
                <c:pt idx="32">
                  <c:v>-2.8638307173549669E-2</c:v>
                </c:pt>
                <c:pt idx="33">
                  <c:v>-1.0881186050815981E-2</c:v>
                </c:pt>
                <c:pt idx="34">
                  <c:v>-9.5165306882831497E-3</c:v>
                </c:pt>
                <c:pt idx="35">
                  <c:v>8.2047687506990336E-3</c:v>
                </c:pt>
                <c:pt idx="36">
                  <c:v>-1.623705056788332E-2</c:v>
                </c:pt>
                <c:pt idx="37">
                  <c:v>2.9767768409876855E-2</c:v>
                </c:pt>
                <c:pt idx="38">
                  <c:v>2.9896557785467636E-2</c:v>
                </c:pt>
                <c:pt idx="39">
                  <c:v>-9.1643245338288697E-3</c:v>
                </c:pt>
                <c:pt idx="40">
                  <c:v>2.2325506519128763E-2</c:v>
                </c:pt>
                <c:pt idx="41">
                  <c:v>-9.2490258624493647E-3</c:v>
                </c:pt>
                <c:pt idx="42">
                  <c:v>-2.0033953434266102E-2</c:v>
                </c:pt>
                <c:pt idx="43">
                  <c:v>-1.30370362521035E-2</c:v>
                </c:pt>
                <c:pt idx="44">
                  <c:v>-1.9905876196580151E-2</c:v>
                </c:pt>
                <c:pt idx="45">
                  <c:v>-1.7102052341623791E-2</c:v>
                </c:pt>
                <c:pt idx="46">
                  <c:v>-2.9073278303367717E-2</c:v>
                </c:pt>
                <c:pt idx="47">
                  <c:v>4.7033269491675717E-3</c:v>
                </c:pt>
                <c:pt idx="48">
                  <c:v>-7.7458250747716615E-3</c:v>
                </c:pt>
                <c:pt idx="49">
                  <c:v>-1.2932474096764748E-2</c:v>
                </c:pt>
                <c:pt idx="50">
                  <c:v>1.5984753187422075E-2</c:v>
                </c:pt>
                <c:pt idx="51">
                  <c:v>1.9147828182758442E-2</c:v>
                </c:pt>
                <c:pt idx="52">
                  <c:v>1.4762325994649831E-2</c:v>
                </c:pt>
                <c:pt idx="53">
                  <c:v>6.9075820385094931E-3</c:v>
                </c:pt>
              </c:numCache>
            </c:numRef>
          </c:val>
          <c:extLst>
            <c:ext xmlns:c16="http://schemas.microsoft.com/office/drawing/2014/chart" uri="{C3380CC4-5D6E-409C-BE32-E72D297353CC}">
              <c16:uniqueId val="{00000001-7969-479D-8764-C63CC032CEFA}"/>
            </c:ext>
          </c:extLst>
        </c:ser>
        <c:dLbls>
          <c:showLegendKey val="0"/>
          <c:showVal val="0"/>
          <c:showCatName val="0"/>
          <c:showSerName val="0"/>
          <c:showPercent val="0"/>
          <c:showBubbleSize val="0"/>
        </c:dLbls>
        <c:gapWidth val="150"/>
        <c:axId val="2125640160"/>
        <c:axId val="2125637136"/>
      </c:barChart>
      <c:catAx>
        <c:axId val="2125640160"/>
        <c:scaling>
          <c:orientation val="minMax"/>
        </c:scaling>
        <c:delete val="0"/>
        <c:axPos val="b"/>
        <c:numFmt formatCode="General" sourceLinked="1"/>
        <c:majorTickMark val="out"/>
        <c:minorTickMark val="none"/>
        <c:tickLblPos val="low"/>
        <c:txPr>
          <a:bodyPr rot="-5400000" vert="horz"/>
          <a:lstStyle/>
          <a:p>
            <a:pPr>
              <a:defRPr sz="800"/>
            </a:pPr>
            <a:endParaRPr lang="en-US"/>
          </a:p>
        </c:txPr>
        <c:crossAx val="2125637136"/>
        <c:crosses val="autoZero"/>
        <c:auto val="1"/>
        <c:lblAlgn val="ctr"/>
        <c:lblOffset val="100"/>
        <c:tickLblSkip val="1"/>
        <c:noMultiLvlLbl val="0"/>
      </c:catAx>
      <c:valAx>
        <c:axId val="2125637136"/>
        <c:scaling>
          <c:orientation val="minMax"/>
        </c:scaling>
        <c:delete val="0"/>
        <c:axPos val="l"/>
        <c:title>
          <c:tx>
            <c:rich>
              <a:bodyPr/>
              <a:lstStyle/>
              <a:p>
                <a:pPr>
                  <a:defRPr sz="900"/>
                </a:pPr>
                <a:r>
                  <a:rPr lang="es-AR" sz="900"/>
                  <a:t>Percent of GDP</a:t>
                </a:r>
              </a:p>
            </c:rich>
          </c:tx>
          <c:overlay val="0"/>
        </c:title>
        <c:numFmt formatCode="0%" sourceLinked="0"/>
        <c:majorTickMark val="out"/>
        <c:minorTickMark val="none"/>
        <c:tickLblPos val="nextTo"/>
        <c:txPr>
          <a:bodyPr/>
          <a:lstStyle/>
          <a:p>
            <a:pPr>
              <a:defRPr sz="900"/>
            </a:pPr>
            <a:endParaRPr lang="en-US"/>
          </a:p>
        </c:txPr>
        <c:crossAx val="2125640160"/>
        <c:crosses val="autoZero"/>
        <c:crossBetween val="between"/>
      </c:valAx>
    </c:plotArea>
    <c:legend>
      <c:legendPos val="b"/>
      <c:overlay val="0"/>
    </c:legend>
    <c:plotVisOnly val="1"/>
    <c:dispBlanksAs val="gap"/>
    <c:showDLblsOverMax val="0"/>
  </c:chart>
  <c:spPr>
    <a:ln>
      <a:noFill/>
    </a:ln>
  </c:spPr>
  <c:txPr>
    <a:bodyPr/>
    <a:lstStyle/>
    <a:p>
      <a:pPr>
        <a:defRPr sz="1000">
          <a:latin typeface="LM Roman 10" panose="00000500000000000000" pitchFamily="50"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592600598126799E-2"/>
          <c:y val="2.6502177564702498E-2"/>
          <c:w val="0.92747812883574099"/>
          <c:h val="0.94699564487059495"/>
        </c:manualLayout>
      </c:layout>
      <c:lineChart>
        <c:grouping val="standard"/>
        <c:varyColors val="0"/>
        <c:ser>
          <c:idx val="1"/>
          <c:order val="0"/>
          <c:tx>
            <c:strRef>
              <c:f>'1974-1989'!$AF$1</c:f>
              <c:strCache>
                <c:ptCount val="1"/>
                <c:pt idx="0">
                  <c:v>Balance of Payments</c:v>
                </c:pt>
              </c:strCache>
            </c:strRef>
          </c:tx>
          <c:marker>
            <c:symbol val="circle"/>
            <c:size val="4"/>
          </c:marker>
          <c:cat>
            <c:numRef>
              <c:f>'1974-1989'!$A$17:$A$31</c:f>
              <c:numCache>
                <c:formatCode>General</c:formatCode>
                <c:ptCount val="15"/>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numCache>
            </c:numRef>
          </c:cat>
          <c:val>
            <c:numRef>
              <c:f>'1974-1989'!$AF$17:$AF$31</c:f>
              <c:numCache>
                <c:formatCode>#,##0</c:formatCode>
                <c:ptCount val="15"/>
                <c:pt idx="0">
                  <c:v>39.06</c:v>
                </c:pt>
                <c:pt idx="1">
                  <c:v>31.79</c:v>
                </c:pt>
                <c:pt idx="2">
                  <c:v>50.85</c:v>
                </c:pt>
                <c:pt idx="3">
                  <c:v>106.35</c:v>
                </c:pt>
                <c:pt idx="4">
                  <c:v>169.04</c:v>
                </c:pt>
                <c:pt idx="5">
                  <c:v>166.56</c:v>
                </c:pt>
                <c:pt idx="6">
                  <c:v>167.4</c:v>
                </c:pt>
                <c:pt idx="7">
                  <c:v>45.17</c:v>
                </c:pt>
                <c:pt idx="8">
                  <c:v>-71.5</c:v>
                </c:pt>
                <c:pt idx="9">
                  <c:v>-39.520000000000003</c:v>
                </c:pt>
                <c:pt idx="10">
                  <c:v>-95.5</c:v>
                </c:pt>
                <c:pt idx="11">
                  <c:v>-88.68</c:v>
                </c:pt>
                <c:pt idx="12">
                  <c:v>-90.075000000000003</c:v>
                </c:pt>
                <c:pt idx="13">
                  <c:v>53.19</c:v>
                </c:pt>
                <c:pt idx="14">
                  <c:v>-135.30000000000001</c:v>
                </c:pt>
              </c:numCache>
            </c:numRef>
          </c:val>
          <c:smooth val="0"/>
          <c:extLst>
            <c:ext xmlns:c16="http://schemas.microsoft.com/office/drawing/2014/chart" uri="{C3380CC4-5D6E-409C-BE32-E72D297353CC}">
              <c16:uniqueId val="{00000000-F76D-49BF-B11C-87BB1FC78A05}"/>
            </c:ext>
          </c:extLst>
        </c:ser>
        <c:ser>
          <c:idx val="0"/>
          <c:order val="1"/>
          <c:tx>
            <c:strRef>
              <c:f>'1974-1989'!$AI$2</c:f>
              <c:strCache>
                <c:ptCount val="1"/>
                <c:pt idx="0">
                  <c:v>Var. Net International Reserves</c:v>
                </c:pt>
              </c:strCache>
            </c:strRef>
          </c:tx>
          <c:marker>
            <c:symbol val="square"/>
            <c:size val="3"/>
          </c:marker>
          <c:cat>
            <c:numRef>
              <c:f>'1974-1989'!$A$17:$A$31</c:f>
              <c:numCache>
                <c:formatCode>General</c:formatCode>
                <c:ptCount val="15"/>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numCache>
            </c:numRef>
          </c:cat>
          <c:val>
            <c:numRef>
              <c:f>'1974-1989'!$AI$17:$AI$31</c:f>
              <c:numCache>
                <c:formatCode>#,##0</c:formatCode>
                <c:ptCount val="15"/>
                <c:pt idx="0">
                  <c:v>30.292999999999999</c:v>
                </c:pt>
                <c:pt idx="1">
                  <c:v>28.974999999999994</c:v>
                </c:pt>
                <c:pt idx="2">
                  <c:v>38.997</c:v>
                </c:pt>
                <c:pt idx="3">
                  <c:v>108.24299999999999</c:v>
                </c:pt>
                <c:pt idx="4">
                  <c:v>179.363</c:v>
                </c:pt>
                <c:pt idx="5">
                  <c:v>156.42300000000006</c:v>
                </c:pt>
                <c:pt idx="6">
                  <c:v>153.19999999999993</c:v>
                </c:pt>
                <c:pt idx="7">
                  <c:v>31.701999999999998</c:v>
                </c:pt>
                <c:pt idx="8">
                  <c:v>-130.14300000000003</c:v>
                </c:pt>
                <c:pt idx="9">
                  <c:v>-24.847999999999956</c:v>
                </c:pt>
                <c:pt idx="10">
                  <c:v>-108.41700000000003</c:v>
                </c:pt>
                <c:pt idx="11">
                  <c:v>-37.19399999999996</c:v>
                </c:pt>
                <c:pt idx="12">
                  <c:v>-82.23399999999998</c:v>
                </c:pt>
                <c:pt idx="13">
                  <c:v>39.797999999999945</c:v>
                </c:pt>
                <c:pt idx="14">
                  <c:v>-133.07599999999996</c:v>
                </c:pt>
              </c:numCache>
            </c:numRef>
          </c:val>
          <c:smooth val="0"/>
          <c:extLst>
            <c:ext xmlns:c16="http://schemas.microsoft.com/office/drawing/2014/chart" uri="{C3380CC4-5D6E-409C-BE32-E72D297353CC}">
              <c16:uniqueId val="{00000001-F76D-49BF-B11C-87BB1FC78A05}"/>
            </c:ext>
          </c:extLst>
        </c:ser>
        <c:ser>
          <c:idx val="2"/>
          <c:order val="2"/>
          <c:tx>
            <c:strRef>
              <c:f>'1974-1989'!$P$2</c:f>
              <c:strCache>
                <c:ptCount val="1"/>
                <c:pt idx="0">
                  <c:v>Balance of Trade</c:v>
                </c:pt>
              </c:strCache>
            </c:strRef>
          </c:tx>
          <c:val>
            <c:numRef>
              <c:f>'1974-1989'!$P$17:$P$31</c:f>
              <c:numCache>
                <c:formatCode>#,##0</c:formatCode>
                <c:ptCount val="15"/>
                <c:pt idx="0">
                  <c:v>-25.286999999999999</c:v>
                </c:pt>
                <c:pt idx="1">
                  <c:v>-50.896999999999998</c:v>
                </c:pt>
                <c:pt idx="2">
                  <c:v>-53.957000000000001</c:v>
                </c:pt>
                <c:pt idx="3">
                  <c:v>-80.69</c:v>
                </c:pt>
                <c:pt idx="4">
                  <c:v>-150.53899999999999</c:v>
                </c:pt>
                <c:pt idx="5">
                  <c:v>-192.624</c:v>
                </c:pt>
                <c:pt idx="6">
                  <c:v>-275.04000000000002</c:v>
                </c:pt>
                <c:pt idx="7">
                  <c:v>-373.92399999999998</c:v>
                </c:pt>
                <c:pt idx="8">
                  <c:v>-315.08699999999999</c:v>
                </c:pt>
                <c:pt idx="9">
                  <c:v>-253.858</c:v>
                </c:pt>
                <c:pt idx="10">
                  <c:v>-201.95699999999999</c:v>
                </c:pt>
                <c:pt idx="11">
                  <c:v>-107.06100000000001</c:v>
                </c:pt>
                <c:pt idx="12">
                  <c:v>-162.43700000000001</c:v>
                </c:pt>
                <c:pt idx="13">
                  <c:v>-97.21</c:v>
                </c:pt>
                <c:pt idx="14">
                  <c:v>68.745999999999995</c:v>
                </c:pt>
              </c:numCache>
            </c:numRef>
          </c:val>
          <c:smooth val="0"/>
          <c:extLst>
            <c:ext xmlns:c16="http://schemas.microsoft.com/office/drawing/2014/chart" uri="{C3380CC4-5D6E-409C-BE32-E72D297353CC}">
              <c16:uniqueId val="{00000002-F76D-49BF-B11C-87BB1FC78A05}"/>
            </c:ext>
          </c:extLst>
        </c:ser>
        <c:dLbls>
          <c:showLegendKey val="0"/>
          <c:showVal val="0"/>
          <c:showCatName val="0"/>
          <c:showSerName val="0"/>
          <c:showPercent val="0"/>
          <c:showBubbleSize val="0"/>
        </c:dLbls>
        <c:marker val="1"/>
        <c:smooth val="0"/>
        <c:axId val="2128474352"/>
        <c:axId val="2129613088"/>
      </c:lineChart>
      <c:catAx>
        <c:axId val="2128474352"/>
        <c:scaling>
          <c:orientation val="minMax"/>
        </c:scaling>
        <c:delete val="0"/>
        <c:axPos val="b"/>
        <c:numFmt formatCode="General" sourceLinked="1"/>
        <c:majorTickMark val="out"/>
        <c:minorTickMark val="none"/>
        <c:tickLblPos val="nextTo"/>
        <c:crossAx val="2129613088"/>
        <c:crosses val="autoZero"/>
        <c:auto val="1"/>
        <c:lblAlgn val="ctr"/>
        <c:lblOffset val="100"/>
        <c:noMultiLvlLbl val="0"/>
      </c:catAx>
      <c:valAx>
        <c:axId val="2129613088"/>
        <c:scaling>
          <c:orientation val="minMax"/>
        </c:scaling>
        <c:delete val="0"/>
        <c:axPos val="l"/>
        <c:majorGridlines>
          <c:spPr>
            <a:ln>
              <a:noFill/>
            </a:ln>
          </c:spPr>
        </c:majorGridlines>
        <c:numFmt formatCode="#,##0" sourceLinked="1"/>
        <c:majorTickMark val="out"/>
        <c:minorTickMark val="none"/>
        <c:tickLblPos val="nextTo"/>
        <c:crossAx val="2128474352"/>
        <c:crosses val="autoZero"/>
        <c:crossBetween val="between"/>
      </c:valAx>
    </c:plotArea>
    <c:legend>
      <c:legendPos val="r"/>
      <c:layout>
        <c:manualLayout>
          <c:xMode val="edge"/>
          <c:yMode val="edge"/>
          <c:x val="9.0600705958583799E-2"/>
          <c:y val="0.81250445220870005"/>
          <c:w val="0.28792113314755802"/>
          <c:h val="0.18749565919644701"/>
        </c:manualLayout>
      </c:layout>
      <c:overlay val="0"/>
    </c:legend>
    <c:plotVisOnly val="1"/>
    <c:dispBlanksAs val="gap"/>
    <c:showDLblsOverMax val="0"/>
  </c:chart>
  <c:txPr>
    <a:bodyPr/>
    <a:lstStyle/>
    <a:p>
      <a:pPr>
        <a:defRPr sz="1600"/>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val>
            <c:numRef>
              <c:f>'Base_Budget Constraint'!$Y$25:$Y$79</c:f>
              <c:numCache>
                <c:formatCode>#,##0</c:formatCode>
                <c:ptCount val="55"/>
                <c:pt idx="0">
                  <c:v>9.775969000000001E-2</c:v>
                </c:pt>
                <c:pt idx="1">
                  <c:v>0.11928364999999999</c:v>
                </c:pt>
                <c:pt idx="2">
                  <c:v>0.12458879999999999</c:v>
                </c:pt>
                <c:pt idx="3">
                  <c:v>0.15684839999999997</c:v>
                </c:pt>
                <c:pt idx="4">
                  <c:v>0.17439959999999999</c:v>
                </c:pt>
                <c:pt idx="5">
                  <c:v>0.1938048</c:v>
                </c:pt>
                <c:pt idx="6">
                  <c:v>0.18840627000000001</c:v>
                </c:pt>
                <c:pt idx="7">
                  <c:v>0.29307642000000006</c:v>
                </c:pt>
                <c:pt idx="8">
                  <c:v>0.32185439999999998</c:v>
                </c:pt>
                <c:pt idx="9">
                  <c:v>0.44372400000000001</c:v>
                </c:pt>
                <c:pt idx="10">
                  <c:v>0.53222159999999996</c:v>
                </c:pt>
                <c:pt idx="11">
                  <c:v>0.69747479999999995</c:v>
                </c:pt>
                <c:pt idx="12">
                  <c:v>0.86742479999999988</c:v>
                </c:pt>
                <c:pt idx="13">
                  <c:v>0.85234560000000004</c:v>
                </c:pt>
                <c:pt idx="14">
                  <c:v>0.99436199999999997</c:v>
                </c:pt>
                <c:pt idx="15">
                  <c:v>1.2146172</c:v>
                </c:pt>
                <c:pt idx="16">
                  <c:v>1.2970169999999999</c:v>
                </c:pt>
                <c:pt idx="17">
                  <c:v>1.7887313999999999</c:v>
                </c:pt>
                <c:pt idx="18">
                  <c:v>2.3395679999999999</c:v>
                </c:pt>
                <c:pt idx="19">
                  <c:v>3.2460239999999998</c:v>
                </c:pt>
                <c:pt idx="20">
                  <c:v>4.1657729999999997</c:v>
                </c:pt>
                <c:pt idx="21">
                  <c:v>4.3217442000000004</c:v>
                </c:pt>
                <c:pt idx="22">
                  <c:v>5.2598501999999989</c:v>
                </c:pt>
                <c:pt idx="23">
                  <c:v>6.0285653999999997</c:v>
                </c:pt>
                <c:pt idx="24">
                  <c:v>13.897200000000002</c:v>
                </c:pt>
                <c:pt idx="25">
                  <c:v>19.04064</c:v>
                </c:pt>
                <c:pt idx="26">
                  <c:v>29.0352</c:v>
                </c:pt>
                <c:pt idx="27">
                  <c:v>37.265920000000001</c:v>
                </c:pt>
                <c:pt idx="28">
                  <c:v>46.863999999999997</c:v>
                </c:pt>
                <c:pt idx="29">
                  <c:v>87.97542</c:v>
                </c:pt>
                <c:pt idx="30">
                  <c:v>99.713850000000008</c:v>
                </c:pt>
                <c:pt idx="31">
                  <c:v>122.22215200000001</c:v>
                </c:pt>
                <c:pt idx="32">
                  <c:v>397.11200000000002</c:v>
                </c:pt>
                <c:pt idx="33">
                  <c:v>152.727328</c:v>
                </c:pt>
                <c:pt idx="34">
                  <c:v>158.90471400000001</c:v>
                </c:pt>
                <c:pt idx="35">
                  <c:v>127.747809</c:v>
                </c:pt>
                <c:pt idx="36">
                  <c:v>126.50716</c:v>
                </c:pt>
                <c:pt idx="37">
                  <c:v>137.87120000000002</c:v>
                </c:pt>
                <c:pt idx="38">
                  <c:v>176.85247999999999</c:v>
                </c:pt>
                <c:pt idx="39">
                  <c:v>207.39669999999998</c:v>
                </c:pt>
                <c:pt idx="40">
                  <c:v>333.81996900000001</c:v>
                </c:pt>
                <c:pt idx="41">
                  <c:v>488.21555000000006</c:v>
                </c:pt>
                <c:pt idx="42">
                  <c:v>532.2672</c:v>
                </c:pt>
                <c:pt idx="43">
                  <c:v>492.04192</c:v>
                </c:pt>
                <c:pt idx="44">
                  <c:v>672.87940400000002</c:v>
                </c:pt>
                <c:pt idx="45">
                  <c:v>549.35362899999996</c:v>
                </c:pt>
                <c:pt idx="46">
                  <c:v>498.27538400000003</c:v>
                </c:pt>
                <c:pt idx="47">
                  <c:v>489.31719200000003</c:v>
                </c:pt>
                <c:pt idx="48">
                  <c:v>450.10802799999999</c:v>
                </c:pt>
                <c:pt idx="49">
                  <c:v>408.95163399999996</c:v>
                </c:pt>
                <c:pt idx="50">
                  <c:v>274.266188</c:v>
                </c:pt>
                <c:pt idx="51">
                  <c:v>269.03735999999998</c:v>
                </c:pt>
                <c:pt idx="52">
                  <c:v>229.264206</c:v>
                </c:pt>
                <c:pt idx="53">
                  <c:v>291.90657599999997</c:v>
                </c:pt>
                <c:pt idx="54">
                  <c:v>298.74612000000002</c:v>
                </c:pt>
              </c:numCache>
            </c:numRef>
          </c:val>
          <c:smooth val="0"/>
          <c:extLst>
            <c:ext xmlns:c16="http://schemas.microsoft.com/office/drawing/2014/chart" uri="{C3380CC4-5D6E-409C-BE32-E72D297353CC}">
              <c16:uniqueId val="{00000000-9473-4429-80B7-0301C687A118}"/>
            </c:ext>
          </c:extLst>
        </c:ser>
        <c:ser>
          <c:idx val="1"/>
          <c:order val="1"/>
          <c:spPr>
            <a:ln w="28575" cap="rnd">
              <a:solidFill>
                <a:schemeClr val="accent2"/>
              </a:solidFill>
              <a:round/>
            </a:ln>
            <a:effectLst/>
          </c:spPr>
          <c:marker>
            <c:symbol val="none"/>
          </c:marker>
          <c:val>
            <c:numRef>
              <c:f>'Base_Budget Constraint'!$Z$25:$Z$79</c:f>
              <c:numCache>
                <c:formatCode>#,##0</c:formatCode>
                <c:ptCount val="55"/>
                <c:pt idx="0">
                  <c:v>9.775969000000001E-2</c:v>
                </c:pt>
                <c:pt idx="1">
                  <c:v>0.11928364999999999</c:v>
                </c:pt>
                <c:pt idx="2">
                  <c:v>16.124588800000001</c:v>
                </c:pt>
                <c:pt idx="3">
                  <c:v>13.156848399999999</c:v>
                </c:pt>
                <c:pt idx="4">
                  <c:v>19.174399600000001</c:v>
                </c:pt>
                <c:pt idx="5">
                  <c:v>35.193804800000002</c:v>
                </c:pt>
                <c:pt idx="6">
                  <c:v>41.188406270000002</c:v>
                </c:pt>
                <c:pt idx="7">
                  <c:v>47.293076419999998</c:v>
                </c:pt>
                <c:pt idx="8">
                  <c:v>46.321854399999999</c:v>
                </c:pt>
                <c:pt idx="9">
                  <c:v>58.543724000000005</c:v>
                </c:pt>
                <c:pt idx="10">
                  <c:v>57.5322216</c:v>
                </c:pt>
                <c:pt idx="11">
                  <c:v>59.697474800000002</c:v>
                </c:pt>
                <c:pt idx="12">
                  <c:v>70.867424799999995</c:v>
                </c:pt>
                <c:pt idx="13">
                  <c:v>84.852345600000007</c:v>
                </c:pt>
                <c:pt idx="14">
                  <c:v>79.994361999999995</c:v>
                </c:pt>
                <c:pt idx="15">
                  <c:v>89.214617200000006</c:v>
                </c:pt>
                <c:pt idx="16">
                  <c:v>103.297017</c:v>
                </c:pt>
                <c:pt idx="17">
                  <c:v>117.7887314</c:v>
                </c:pt>
                <c:pt idx="18">
                  <c:v>112.539568</c:v>
                </c:pt>
                <c:pt idx="19">
                  <c:v>3.2460239999999998</c:v>
                </c:pt>
                <c:pt idx="20">
                  <c:v>63.165773000000002</c:v>
                </c:pt>
                <c:pt idx="21">
                  <c:v>111.3217442</c:v>
                </c:pt>
                <c:pt idx="22">
                  <c:v>91.259850200000002</c:v>
                </c:pt>
                <c:pt idx="23">
                  <c:v>77.028565400000005</c:v>
                </c:pt>
                <c:pt idx="24">
                  <c:v>1001.8972</c:v>
                </c:pt>
                <c:pt idx="25">
                  <c:v>927.04064000000005</c:v>
                </c:pt>
                <c:pt idx="26">
                  <c:v>813.03520000000003</c:v>
                </c:pt>
                <c:pt idx="27">
                  <c:v>719.26592000000005</c:v>
                </c:pt>
                <c:pt idx="28">
                  <c:v>626.86400000000003</c:v>
                </c:pt>
                <c:pt idx="29">
                  <c:v>565.97541999999999</c:v>
                </c:pt>
                <c:pt idx="30">
                  <c:v>481.71384999999998</c:v>
                </c:pt>
                <c:pt idx="31">
                  <c:v>549.22215200000005</c:v>
                </c:pt>
                <c:pt idx="32">
                  <c:v>573.11200000000008</c:v>
                </c:pt>
                <c:pt idx="33">
                  <c:v>228.727328</c:v>
                </c:pt>
                <c:pt idx="34">
                  <c:v>158.90471400000001</c:v>
                </c:pt>
                <c:pt idx="35">
                  <c:v>14731.747809</c:v>
                </c:pt>
                <c:pt idx="36">
                  <c:v>10660.507159999999</c:v>
                </c:pt>
                <c:pt idx="37">
                  <c:v>16229.8712</c:v>
                </c:pt>
                <c:pt idx="38">
                  <c:v>34207.852480000001</c:v>
                </c:pt>
                <c:pt idx="39">
                  <c:v>31204.396700000001</c:v>
                </c:pt>
                <c:pt idx="40">
                  <c:v>27179.819969</c:v>
                </c:pt>
                <c:pt idx="41">
                  <c:v>25784.215550000001</c:v>
                </c:pt>
                <c:pt idx="42">
                  <c:v>61026.267200000002</c:v>
                </c:pt>
                <c:pt idx="43">
                  <c:v>58139.679920000002</c:v>
                </c:pt>
                <c:pt idx="44">
                  <c:v>68406.879404000007</c:v>
                </c:pt>
                <c:pt idx="45">
                  <c:v>83797.972904000009</c:v>
                </c:pt>
                <c:pt idx="46">
                  <c:v>54098.586949000004</c:v>
                </c:pt>
                <c:pt idx="47">
                  <c:v>71568.741212000008</c:v>
                </c:pt>
                <c:pt idx="48">
                  <c:v>95682.564020999998</c:v>
                </c:pt>
                <c:pt idx="49">
                  <c:v>100438.19263400001</c:v>
                </c:pt>
                <c:pt idx="50">
                  <c:v>112357.02459600002</c:v>
                </c:pt>
                <c:pt idx="51">
                  <c:v>71866.169209999993</c:v>
                </c:pt>
                <c:pt idx="52">
                  <c:v>58499.556238000012</c:v>
                </c:pt>
                <c:pt idx="53">
                  <c:v>185629.04547400001</c:v>
                </c:pt>
                <c:pt idx="54">
                  <c:v>243548.90786100001</c:v>
                </c:pt>
              </c:numCache>
            </c:numRef>
          </c:val>
          <c:smooth val="0"/>
          <c:extLst>
            <c:ext xmlns:c16="http://schemas.microsoft.com/office/drawing/2014/chart" uri="{C3380CC4-5D6E-409C-BE32-E72D297353CC}">
              <c16:uniqueId val="{00000001-9473-4429-80B7-0301C687A118}"/>
            </c:ext>
          </c:extLst>
        </c:ser>
        <c:dLbls>
          <c:showLegendKey val="0"/>
          <c:showVal val="0"/>
          <c:showCatName val="0"/>
          <c:showSerName val="0"/>
          <c:showPercent val="0"/>
          <c:showBubbleSize val="0"/>
        </c:dLbls>
        <c:smooth val="0"/>
        <c:axId val="2129637728"/>
        <c:axId val="2129640832"/>
      </c:lineChart>
      <c:catAx>
        <c:axId val="212963772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9640832"/>
        <c:crosses val="autoZero"/>
        <c:auto val="1"/>
        <c:lblAlgn val="ctr"/>
        <c:lblOffset val="100"/>
        <c:noMultiLvlLbl val="0"/>
      </c:catAx>
      <c:valAx>
        <c:axId val="21296408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9637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val>
            <c:numRef>
              <c:f>'Base_Budget Constraint'!$B$4:$B$79</c:f>
              <c:numCache>
                <c:formatCode>0%</c:formatCode>
                <c:ptCount val="76"/>
                <c:pt idx="0">
                  <c:v>4.0000000000000036E-2</c:v>
                </c:pt>
                <c:pt idx="1">
                  <c:v>9.6153846153846256E-2</c:v>
                </c:pt>
                <c:pt idx="2">
                  <c:v>0.13157894736842102</c:v>
                </c:pt>
                <c:pt idx="3">
                  <c:v>0.32558139534883712</c:v>
                </c:pt>
                <c:pt idx="4">
                  <c:v>-2.9239766081871399E-2</c:v>
                </c:pt>
                <c:pt idx="5">
                  <c:v>0.18072289156626509</c:v>
                </c:pt>
                <c:pt idx="6">
                  <c:v>0.11224489795918369</c:v>
                </c:pt>
                <c:pt idx="7">
                  <c:v>0.12844036697247696</c:v>
                </c:pt>
                <c:pt idx="8">
                  <c:v>0.29674796747967469</c:v>
                </c:pt>
                <c:pt idx="9">
                  <c:v>0.46081504702194365</c:v>
                </c:pt>
                <c:pt idx="10">
                  <c:v>0.22746781115879822</c:v>
                </c:pt>
                <c:pt idx="11">
                  <c:v>0.79370629370629375</c:v>
                </c:pt>
                <c:pt idx="12">
                  <c:v>0.48538011695906436</c:v>
                </c:pt>
                <c:pt idx="13">
                  <c:v>1.5702099737532809</c:v>
                </c:pt>
                <c:pt idx="14">
                  <c:v>0.339545570589737</c:v>
                </c:pt>
                <c:pt idx="15">
                  <c:v>0.17953116066323616</c:v>
                </c:pt>
                <c:pt idx="16">
                  <c:v>0.25416060752948777</c:v>
                </c:pt>
                <c:pt idx="17">
                  <c:v>0.18294254058232418</c:v>
                </c:pt>
                <c:pt idx="18">
                  <c:v>0.14844260509692875</c:v>
                </c:pt>
                <c:pt idx="19">
                  <c:v>3.7363679468942701E-2</c:v>
                </c:pt>
                <c:pt idx="20">
                  <c:v>8.6113904378828154E-2</c:v>
                </c:pt>
                <c:pt idx="21">
                  <c:v>8.1632653061224358E-2</c:v>
                </c:pt>
                <c:pt idx="22">
                  <c:v>0.179245283018868</c:v>
                </c:pt>
                <c:pt idx="23">
                  <c:v>1.9999999999999796E-2</c:v>
                </c:pt>
                <c:pt idx="24">
                  <c:v>1.5686274509804088E-2</c:v>
                </c:pt>
                <c:pt idx="25">
                  <c:v>5.044222772771989E-2</c:v>
                </c:pt>
                <c:pt idx="26">
                  <c:v>3.9215686274509665E-2</c:v>
                </c:pt>
                <c:pt idx="27">
                  <c:v>1.3207547169811429E-2</c:v>
                </c:pt>
                <c:pt idx="28">
                  <c:v>5.5865921787707773E-3</c:v>
                </c:pt>
                <c:pt idx="29">
                  <c:v>2.6851851851851904E-2</c:v>
                </c:pt>
                <c:pt idx="30">
                  <c:v>-2.7051397655546428E-3</c:v>
                </c:pt>
                <c:pt idx="31">
                  <c:v>2.2603978300180794E-2</c:v>
                </c:pt>
                <c:pt idx="32">
                  <c:v>6.2776304155614637E-2</c:v>
                </c:pt>
                <c:pt idx="33">
                  <c:v>9.4841930116472462E-2</c:v>
                </c:pt>
                <c:pt idx="34">
                  <c:v>0.14133738601823698</c:v>
                </c:pt>
                <c:pt idx="35">
                  <c:v>0.2197070572569908</c:v>
                </c:pt>
                <c:pt idx="36">
                  <c:v>8.6790393013100431E-2</c:v>
                </c:pt>
                <c:pt idx="37">
                  <c:v>3.3651431441486634E-2</c:v>
                </c:pt>
                <c:pt idx="38">
                  <c:v>9.3780369290573207E-2</c:v>
                </c:pt>
                <c:pt idx="39">
                  <c:v>0.16836961350510871</c:v>
                </c:pt>
                <c:pt idx="40">
                  <c:v>0.35703422053231959</c:v>
                </c:pt>
                <c:pt idx="41">
                  <c:v>0.15017255226305104</c:v>
                </c:pt>
                <c:pt idx="42">
                  <c:v>8.1180811808118092E-2</c:v>
                </c:pt>
                <c:pt idx="43">
                  <c:v>8.8737201365187701E-2</c:v>
                </c:pt>
                <c:pt idx="44">
                  <c:v>0.14106583072100309</c:v>
                </c:pt>
                <c:pt idx="45">
                  <c:v>0.29807692307692291</c:v>
                </c:pt>
                <c:pt idx="46">
                  <c:v>0.23068783068783083</c:v>
                </c:pt>
                <c:pt idx="47">
                  <c:v>0.24118658641444535</c:v>
                </c:pt>
                <c:pt idx="48">
                  <c:v>0.32040180117769324</c:v>
                </c:pt>
                <c:pt idx="49">
                  <c:v>0.16946484784889826</c:v>
                </c:pt>
                <c:pt idx="50">
                  <c:v>0.28532974427994606</c:v>
                </c:pt>
                <c:pt idx="51">
                  <c:v>0.44066317626527063</c:v>
                </c:pt>
                <c:pt idx="52">
                  <c:v>0.11811023622047245</c:v>
                </c:pt>
                <c:pt idx="53">
                  <c:v>0.17811484290357549</c:v>
                </c:pt>
                <c:pt idx="54">
                  <c:v>0.20406474158543286</c:v>
                </c:pt>
                <c:pt idx="55">
                  <c:v>0.18276941877339037</c:v>
                </c:pt>
                <c:pt idx="56">
                  <c:v>0.10533159947984405</c:v>
                </c:pt>
                <c:pt idx="57">
                  <c:v>8.1764705882352962E-2</c:v>
                </c:pt>
                <c:pt idx="58">
                  <c:v>6.1990212071778128E-2</c:v>
                </c:pt>
                <c:pt idx="59">
                  <c:v>0.14644137224782372</c:v>
                </c:pt>
                <c:pt idx="60">
                  <c:v>5.4041983028137563E-2</c:v>
                </c:pt>
                <c:pt idx="61">
                  <c:v>8.6440677966101553E-2</c:v>
                </c:pt>
                <c:pt idx="62">
                  <c:v>8.3853354134165503E-2</c:v>
                </c:pt>
                <c:pt idx="63">
                  <c:v>0.14645555955379663</c:v>
                </c:pt>
                <c:pt idx="64">
                  <c:v>9.3220338983050821E-2</c:v>
                </c:pt>
                <c:pt idx="65">
                  <c:v>2.8136663795578443E-2</c:v>
                </c:pt>
                <c:pt idx="66">
                  <c:v>9.8575816810946515E-2</c:v>
                </c:pt>
                <c:pt idx="67">
                  <c:v>0.12480935434672102</c:v>
                </c:pt>
                <c:pt idx="68">
                  <c:v>5.966101694915249E-2</c:v>
                </c:pt>
                <c:pt idx="69">
                  <c:v>7.4999999999999956E-2</c:v>
                </c:pt>
                <c:pt idx="70">
                  <c:v>1.8604651162790642E-2</c:v>
                </c:pt>
                <c:pt idx="71">
                  <c:v>7.214611872146115E-2</c:v>
                </c:pt>
                <c:pt idx="72">
                  <c:v>4.9403747870528036E-2</c:v>
                </c:pt>
                <c:pt idx="73">
                  <c:v>3.9772727272727293E-2</c:v>
                </c:pt>
                <c:pt idx="74">
                  <c:v>3.7470725995316201E-2</c:v>
                </c:pt>
                <c:pt idx="75">
                  <c:v>4.2136945071482357E-2</c:v>
                </c:pt>
              </c:numCache>
            </c:numRef>
          </c:val>
          <c:smooth val="0"/>
          <c:extLst>
            <c:ext xmlns:c16="http://schemas.microsoft.com/office/drawing/2014/chart" uri="{C3380CC4-5D6E-409C-BE32-E72D297353CC}">
              <c16:uniqueId val="{00000000-F398-453A-BA75-4690C83C48AB}"/>
            </c:ext>
          </c:extLst>
        </c:ser>
        <c:dLbls>
          <c:showLegendKey val="0"/>
          <c:showVal val="0"/>
          <c:showCatName val="0"/>
          <c:showSerName val="0"/>
          <c:showPercent val="0"/>
          <c:showBubbleSize val="0"/>
        </c:dLbls>
        <c:smooth val="0"/>
        <c:axId val="2128500272"/>
        <c:axId val="2128503056"/>
      </c:lineChart>
      <c:catAx>
        <c:axId val="2128500272"/>
        <c:scaling>
          <c:orientation val="minMax"/>
        </c:scaling>
        <c:delete val="0"/>
        <c:axPos val="b"/>
        <c:majorTickMark val="out"/>
        <c:minorTickMark val="none"/>
        <c:tickLblPos val="nextTo"/>
        <c:crossAx val="2128503056"/>
        <c:crosses val="autoZero"/>
        <c:auto val="1"/>
        <c:lblAlgn val="ctr"/>
        <c:lblOffset val="100"/>
        <c:noMultiLvlLbl val="0"/>
      </c:catAx>
      <c:valAx>
        <c:axId val="2128503056"/>
        <c:scaling>
          <c:orientation val="minMax"/>
        </c:scaling>
        <c:delete val="0"/>
        <c:axPos val="l"/>
        <c:majorGridlines/>
        <c:numFmt formatCode="0%" sourceLinked="1"/>
        <c:majorTickMark val="out"/>
        <c:minorTickMark val="none"/>
        <c:tickLblPos val="nextTo"/>
        <c:crossAx val="21285002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932852143482"/>
          <c:y val="5.1400554097404502E-2"/>
          <c:w val="0.86774606299212598"/>
          <c:h val="0.89719889180519097"/>
        </c:manualLayout>
      </c:layout>
      <c:lineChart>
        <c:grouping val="standard"/>
        <c:varyColors val="0"/>
        <c:ser>
          <c:idx val="1"/>
          <c:order val="0"/>
          <c:tx>
            <c:v>Inflación Paraguay</c:v>
          </c:tx>
          <c:spPr>
            <a:ln w="38100">
              <a:solidFill>
                <a:srgbClr val="00B0F0"/>
              </a:solidFill>
            </a:ln>
          </c:spPr>
          <c:marker>
            <c:symbol val="none"/>
          </c:marker>
          <c:cat>
            <c:numRef>
              <c:f>'Base_Budget Constraint'!$A$4:$A$79</c:f>
              <c:numCache>
                <c:formatCode>General</c:formatCode>
                <c:ptCount val="76"/>
                <c:pt idx="0">
                  <c:v>1939</c:v>
                </c:pt>
                <c:pt idx="1">
                  <c:v>1940</c:v>
                </c:pt>
                <c:pt idx="2">
                  <c:v>1941</c:v>
                </c:pt>
                <c:pt idx="3">
                  <c:v>1942</c:v>
                </c:pt>
                <c:pt idx="4">
                  <c:v>1943</c:v>
                </c:pt>
                <c:pt idx="5">
                  <c:v>1944</c:v>
                </c:pt>
                <c:pt idx="6">
                  <c:v>1945</c:v>
                </c:pt>
                <c:pt idx="7">
                  <c:v>1946</c:v>
                </c:pt>
                <c:pt idx="8">
                  <c:v>1947</c:v>
                </c:pt>
                <c:pt idx="9">
                  <c:v>1948</c:v>
                </c:pt>
                <c:pt idx="10">
                  <c:v>1949</c:v>
                </c:pt>
                <c:pt idx="11">
                  <c:v>1950</c:v>
                </c:pt>
                <c:pt idx="12">
                  <c:v>1951</c:v>
                </c:pt>
                <c:pt idx="13">
                  <c:v>1952</c:v>
                </c:pt>
                <c:pt idx="14">
                  <c:v>1953</c:v>
                </c:pt>
                <c:pt idx="15">
                  <c:v>1954</c:v>
                </c:pt>
                <c:pt idx="16">
                  <c:v>1955</c:v>
                </c:pt>
                <c:pt idx="17">
                  <c:v>1956</c:v>
                </c:pt>
                <c:pt idx="18">
                  <c:v>1957</c:v>
                </c:pt>
                <c:pt idx="19">
                  <c:v>1958</c:v>
                </c:pt>
                <c:pt idx="20">
                  <c:v>1959</c:v>
                </c:pt>
                <c:pt idx="21">
                  <c:v>1960</c:v>
                </c:pt>
                <c:pt idx="22">
                  <c:v>1961</c:v>
                </c:pt>
                <c:pt idx="23">
                  <c:v>1962</c:v>
                </c:pt>
                <c:pt idx="24">
                  <c:v>1963</c:v>
                </c:pt>
                <c:pt idx="25">
                  <c:v>1964</c:v>
                </c:pt>
                <c:pt idx="26">
                  <c:v>1965</c:v>
                </c:pt>
                <c:pt idx="27">
                  <c:v>1966</c:v>
                </c:pt>
                <c:pt idx="28">
                  <c:v>1967</c:v>
                </c:pt>
                <c:pt idx="29">
                  <c:v>1968</c:v>
                </c:pt>
                <c:pt idx="30">
                  <c:v>1969</c:v>
                </c:pt>
                <c:pt idx="31">
                  <c:v>1970</c:v>
                </c:pt>
                <c:pt idx="32">
                  <c:v>1971</c:v>
                </c:pt>
                <c:pt idx="33">
                  <c:v>1972</c:v>
                </c:pt>
                <c:pt idx="34">
                  <c:v>1973</c:v>
                </c:pt>
                <c:pt idx="35">
                  <c:v>1974</c:v>
                </c:pt>
                <c:pt idx="36">
                  <c:v>1975</c:v>
                </c:pt>
                <c:pt idx="37">
                  <c:v>1976</c:v>
                </c:pt>
                <c:pt idx="38">
                  <c:v>1977</c:v>
                </c:pt>
                <c:pt idx="39">
                  <c:v>1978</c:v>
                </c:pt>
                <c:pt idx="40">
                  <c:v>1979</c:v>
                </c:pt>
                <c:pt idx="41">
                  <c:v>1980</c:v>
                </c:pt>
                <c:pt idx="42">
                  <c:v>1981</c:v>
                </c:pt>
                <c:pt idx="43">
                  <c:v>1982</c:v>
                </c:pt>
                <c:pt idx="44">
                  <c:v>1983</c:v>
                </c:pt>
                <c:pt idx="45">
                  <c:v>1984</c:v>
                </c:pt>
                <c:pt idx="46">
                  <c:v>1985</c:v>
                </c:pt>
                <c:pt idx="47">
                  <c:v>1986</c:v>
                </c:pt>
                <c:pt idx="48">
                  <c:v>1987</c:v>
                </c:pt>
                <c:pt idx="49">
                  <c:v>1988</c:v>
                </c:pt>
                <c:pt idx="50">
                  <c:v>1989</c:v>
                </c:pt>
                <c:pt idx="51">
                  <c:v>1990</c:v>
                </c:pt>
                <c:pt idx="52">
                  <c:v>1991</c:v>
                </c:pt>
                <c:pt idx="53">
                  <c:v>1992</c:v>
                </c:pt>
                <c:pt idx="54">
                  <c:v>1993</c:v>
                </c:pt>
                <c:pt idx="55">
                  <c:v>1994</c:v>
                </c:pt>
                <c:pt idx="56">
                  <c:v>1995</c:v>
                </c:pt>
                <c:pt idx="57">
                  <c:v>1996</c:v>
                </c:pt>
                <c:pt idx="58">
                  <c:v>1997</c:v>
                </c:pt>
                <c:pt idx="59">
                  <c:v>1998</c:v>
                </c:pt>
                <c:pt idx="60">
                  <c:v>1999</c:v>
                </c:pt>
                <c:pt idx="61">
                  <c:v>2000</c:v>
                </c:pt>
                <c:pt idx="62">
                  <c:v>2001</c:v>
                </c:pt>
                <c:pt idx="63">
                  <c:v>2002</c:v>
                </c:pt>
                <c:pt idx="64">
                  <c:v>2003</c:v>
                </c:pt>
                <c:pt idx="65">
                  <c:v>2004</c:v>
                </c:pt>
                <c:pt idx="66">
                  <c:v>2005</c:v>
                </c:pt>
                <c:pt idx="67">
                  <c:v>2006</c:v>
                </c:pt>
                <c:pt idx="68">
                  <c:v>2007</c:v>
                </c:pt>
                <c:pt idx="69">
                  <c:v>2008</c:v>
                </c:pt>
                <c:pt idx="70">
                  <c:v>2009</c:v>
                </c:pt>
                <c:pt idx="71">
                  <c:v>2010</c:v>
                </c:pt>
                <c:pt idx="72">
                  <c:v>2011</c:v>
                </c:pt>
                <c:pt idx="73">
                  <c:v>2012</c:v>
                </c:pt>
                <c:pt idx="74">
                  <c:v>2013</c:v>
                </c:pt>
                <c:pt idx="75">
                  <c:v>2014</c:v>
                </c:pt>
              </c:numCache>
            </c:numRef>
          </c:cat>
          <c:val>
            <c:numRef>
              <c:f>'Base_Budget Constraint'!$B$4:$B$79</c:f>
              <c:numCache>
                <c:formatCode>0%</c:formatCode>
                <c:ptCount val="76"/>
                <c:pt idx="0">
                  <c:v>4.0000000000000036E-2</c:v>
                </c:pt>
                <c:pt idx="1">
                  <c:v>9.6153846153846256E-2</c:v>
                </c:pt>
                <c:pt idx="2">
                  <c:v>0.13157894736842102</c:v>
                </c:pt>
                <c:pt idx="3">
                  <c:v>0.32558139534883712</c:v>
                </c:pt>
                <c:pt idx="4">
                  <c:v>-2.9239766081871399E-2</c:v>
                </c:pt>
                <c:pt idx="5">
                  <c:v>0.18072289156626509</c:v>
                </c:pt>
                <c:pt idx="6">
                  <c:v>0.11224489795918369</c:v>
                </c:pt>
                <c:pt idx="7">
                  <c:v>0.12844036697247696</c:v>
                </c:pt>
                <c:pt idx="8">
                  <c:v>0.29674796747967469</c:v>
                </c:pt>
                <c:pt idx="9">
                  <c:v>0.46081504702194365</c:v>
                </c:pt>
                <c:pt idx="10">
                  <c:v>0.22746781115879822</c:v>
                </c:pt>
                <c:pt idx="11">
                  <c:v>0.79370629370629375</c:v>
                </c:pt>
                <c:pt idx="12">
                  <c:v>0.48538011695906436</c:v>
                </c:pt>
                <c:pt idx="13">
                  <c:v>1.5702099737532809</c:v>
                </c:pt>
                <c:pt idx="14">
                  <c:v>0.339545570589737</c:v>
                </c:pt>
                <c:pt idx="15">
                  <c:v>0.17953116066323616</c:v>
                </c:pt>
                <c:pt idx="16">
                  <c:v>0.25416060752948777</c:v>
                </c:pt>
                <c:pt idx="17">
                  <c:v>0.18294254058232418</c:v>
                </c:pt>
                <c:pt idx="18">
                  <c:v>0.14844260509692875</c:v>
                </c:pt>
                <c:pt idx="19">
                  <c:v>3.7363679468942701E-2</c:v>
                </c:pt>
                <c:pt idx="20">
                  <c:v>8.6113904378828154E-2</c:v>
                </c:pt>
                <c:pt idx="21">
                  <c:v>8.1632653061224358E-2</c:v>
                </c:pt>
                <c:pt idx="22">
                  <c:v>0.179245283018868</c:v>
                </c:pt>
                <c:pt idx="23">
                  <c:v>1.9999999999999796E-2</c:v>
                </c:pt>
                <c:pt idx="24">
                  <c:v>1.5686274509804088E-2</c:v>
                </c:pt>
                <c:pt idx="25">
                  <c:v>5.044222772771989E-2</c:v>
                </c:pt>
                <c:pt idx="26">
                  <c:v>3.9215686274509665E-2</c:v>
                </c:pt>
                <c:pt idx="27">
                  <c:v>1.3207547169811429E-2</c:v>
                </c:pt>
                <c:pt idx="28">
                  <c:v>5.5865921787707773E-3</c:v>
                </c:pt>
                <c:pt idx="29">
                  <c:v>2.6851851851851904E-2</c:v>
                </c:pt>
                <c:pt idx="30">
                  <c:v>-2.7051397655546428E-3</c:v>
                </c:pt>
                <c:pt idx="31">
                  <c:v>2.2603978300180794E-2</c:v>
                </c:pt>
                <c:pt idx="32">
                  <c:v>6.2776304155614637E-2</c:v>
                </c:pt>
                <c:pt idx="33">
                  <c:v>9.4841930116472462E-2</c:v>
                </c:pt>
                <c:pt idx="34">
                  <c:v>0.14133738601823698</c:v>
                </c:pt>
                <c:pt idx="35">
                  <c:v>0.2197070572569908</c:v>
                </c:pt>
                <c:pt idx="36">
                  <c:v>8.6790393013100431E-2</c:v>
                </c:pt>
                <c:pt idx="37">
                  <c:v>3.3651431441486634E-2</c:v>
                </c:pt>
                <c:pt idx="38">
                  <c:v>9.3780369290573207E-2</c:v>
                </c:pt>
                <c:pt idx="39">
                  <c:v>0.16836961350510871</c:v>
                </c:pt>
                <c:pt idx="40">
                  <c:v>0.35703422053231959</c:v>
                </c:pt>
                <c:pt idx="41">
                  <c:v>0.15017255226305104</c:v>
                </c:pt>
                <c:pt idx="42">
                  <c:v>8.1180811808118092E-2</c:v>
                </c:pt>
                <c:pt idx="43">
                  <c:v>8.8737201365187701E-2</c:v>
                </c:pt>
                <c:pt idx="44">
                  <c:v>0.14106583072100309</c:v>
                </c:pt>
                <c:pt idx="45">
                  <c:v>0.29807692307692291</c:v>
                </c:pt>
                <c:pt idx="46">
                  <c:v>0.23068783068783083</c:v>
                </c:pt>
                <c:pt idx="47">
                  <c:v>0.24118658641444535</c:v>
                </c:pt>
                <c:pt idx="48">
                  <c:v>0.32040180117769324</c:v>
                </c:pt>
                <c:pt idx="49">
                  <c:v>0.16946484784889826</c:v>
                </c:pt>
                <c:pt idx="50">
                  <c:v>0.28532974427994606</c:v>
                </c:pt>
                <c:pt idx="51">
                  <c:v>0.44066317626527063</c:v>
                </c:pt>
                <c:pt idx="52">
                  <c:v>0.11811023622047245</c:v>
                </c:pt>
                <c:pt idx="53">
                  <c:v>0.17811484290357549</c:v>
                </c:pt>
                <c:pt idx="54">
                  <c:v>0.20406474158543286</c:v>
                </c:pt>
                <c:pt idx="55">
                  <c:v>0.18276941877339037</c:v>
                </c:pt>
                <c:pt idx="56">
                  <c:v>0.10533159947984405</c:v>
                </c:pt>
                <c:pt idx="57">
                  <c:v>8.1764705882352962E-2</c:v>
                </c:pt>
                <c:pt idx="58">
                  <c:v>6.1990212071778128E-2</c:v>
                </c:pt>
                <c:pt idx="59">
                  <c:v>0.14644137224782372</c:v>
                </c:pt>
                <c:pt idx="60">
                  <c:v>5.4041983028137563E-2</c:v>
                </c:pt>
                <c:pt idx="61">
                  <c:v>8.6440677966101553E-2</c:v>
                </c:pt>
                <c:pt idx="62">
                  <c:v>8.3853354134165503E-2</c:v>
                </c:pt>
                <c:pt idx="63">
                  <c:v>0.14645555955379663</c:v>
                </c:pt>
                <c:pt idx="64">
                  <c:v>9.3220338983050821E-2</c:v>
                </c:pt>
                <c:pt idx="65">
                  <c:v>2.8136663795578443E-2</c:v>
                </c:pt>
                <c:pt idx="66">
                  <c:v>9.8575816810946515E-2</c:v>
                </c:pt>
                <c:pt idx="67">
                  <c:v>0.12480935434672102</c:v>
                </c:pt>
                <c:pt idx="68">
                  <c:v>5.966101694915249E-2</c:v>
                </c:pt>
                <c:pt idx="69">
                  <c:v>7.4999999999999956E-2</c:v>
                </c:pt>
                <c:pt idx="70">
                  <c:v>1.8604651162790642E-2</c:v>
                </c:pt>
                <c:pt idx="71">
                  <c:v>7.214611872146115E-2</c:v>
                </c:pt>
                <c:pt idx="72">
                  <c:v>4.9403747870528036E-2</c:v>
                </c:pt>
                <c:pt idx="73">
                  <c:v>3.9772727272727293E-2</c:v>
                </c:pt>
                <c:pt idx="74">
                  <c:v>3.7470725995316201E-2</c:v>
                </c:pt>
                <c:pt idx="75">
                  <c:v>4.2136945071482357E-2</c:v>
                </c:pt>
              </c:numCache>
            </c:numRef>
          </c:val>
          <c:smooth val="0"/>
          <c:extLst>
            <c:ext xmlns:c16="http://schemas.microsoft.com/office/drawing/2014/chart" uri="{C3380CC4-5D6E-409C-BE32-E72D297353CC}">
              <c16:uniqueId val="{00000000-E4A3-416A-9F89-75F6EC3EBADB}"/>
            </c:ext>
          </c:extLst>
        </c:ser>
        <c:dLbls>
          <c:showLegendKey val="0"/>
          <c:showVal val="0"/>
          <c:showCatName val="0"/>
          <c:showSerName val="0"/>
          <c:showPercent val="0"/>
          <c:showBubbleSize val="0"/>
        </c:dLbls>
        <c:smooth val="0"/>
        <c:axId val="2128521760"/>
        <c:axId val="2128524672"/>
      </c:lineChart>
      <c:catAx>
        <c:axId val="2128521760"/>
        <c:scaling>
          <c:orientation val="minMax"/>
        </c:scaling>
        <c:delete val="0"/>
        <c:axPos val="b"/>
        <c:numFmt formatCode="General" sourceLinked="1"/>
        <c:majorTickMark val="out"/>
        <c:minorTickMark val="none"/>
        <c:tickLblPos val="nextTo"/>
        <c:crossAx val="2128524672"/>
        <c:crosses val="autoZero"/>
        <c:auto val="1"/>
        <c:lblAlgn val="ctr"/>
        <c:lblOffset val="100"/>
        <c:noMultiLvlLbl val="0"/>
      </c:catAx>
      <c:valAx>
        <c:axId val="2128524672"/>
        <c:scaling>
          <c:orientation val="minMax"/>
          <c:min val="-0.1"/>
        </c:scaling>
        <c:delete val="0"/>
        <c:axPos val="l"/>
        <c:numFmt formatCode="0%" sourceLinked="1"/>
        <c:majorTickMark val="out"/>
        <c:minorTickMark val="none"/>
        <c:tickLblPos val="nextTo"/>
        <c:crossAx val="2128521760"/>
        <c:crosses val="autoZero"/>
        <c:crossBetween val="between"/>
      </c:valAx>
    </c:plotArea>
    <c:legend>
      <c:legendPos val="tr"/>
      <c:overlay val="0"/>
    </c:legend>
    <c:plotVisOnly val="1"/>
    <c:dispBlanksAs val="gap"/>
    <c:showDLblsOverMax val="0"/>
  </c:chart>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897335107993003E-2"/>
          <c:y val="5.1400554097404502E-2"/>
          <c:w val="0.83721345258382995"/>
          <c:h val="0.89719889180519097"/>
        </c:manualLayout>
      </c:layout>
      <c:lineChart>
        <c:grouping val="standard"/>
        <c:varyColors val="0"/>
        <c:ser>
          <c:idx val="0"/>
          <c:order val="0"/>
          <c:tx>
            <c:v>Primary Deficit/GDP</c:v>
          </c:tx>
          <c:marker>
            <c:symbol val="none"/>
          </c:marker>
          <c:cat>
            <c:numRef>
              <c:f>'Budget Constraint'!$A$4:$A$15</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'Budget Constraint'!$G$4:$G$15</c:f>
              <c:numCache>
                <c:formatCode>0.0%</c:formatCode>
                <c:ptCount val="12"/>
                <c:pt idx="0">
                  <c:v>-1.5945934768813585E-3</c:v>
                </c:pt>
                <c:pt idx="1">
                  <c:v>1.2127925991200912E-2</c:v>
                </c:pt>
                <c:pt idx="2">
                  <c:v>1.2547991842453057E-2</c:v>
                </c:pt>
                <c:pt idx="3">
                  <c:v>-5.8359809243213054E-3</c:v>
                </c:pt>
                <c:pt idx="4">
                  <c:v>1.7329133195915881E-2</c:v>
                </c:pt>
                <c:pt idx="5">
                  <c:v>4.6538319559597169E-2</c:v>
                </c:pt>
                <c:pt idx="6">
                  <c:v>4.975797306665438E-2</c:v>
                </c:pt>
                <c:pt idx="7">
                  <c:v>1.223453726096964E-2</c:v>
                </c:pt>
                <c:pt idx="8">
                  <c:v>6.5575309999832939E-3</c:v>
                </c:pt>
                <c:pt idx="9">
                  <c:v>1.6800159390905029E-2</c:v>
                </c:pt>
                <c:pt idx="10">
                  <c:v>2.6748188086502613E-2</c:v>
                </c:pt>
                <c:pt idx="11">
                  <c:v>1.0066694864508683E-2</c:v>
                </c:pt>
              </c:numCache>
            </c:numRef>
          </c:val>
          <c:smooth val="0"/>
          <c:extLst>
            <c:ext xmlns:c16="http://schemas.microsoft.com/office/drawing/2014/chart" uri="{C3380CC4-5D6E-409C-BE32-E72D297353CC}">
              <c16:uniqueId val="{00000000-FF8C-442E-B765-532D723B9D6B}"/>
            </c:ext>
          </c:extLst>
        </c:ser>
        <c:dLbls>
          <c:showLegendKey val="0"/>
          <c:showVal val="0"/>
          <c:showCatName val="0"/>
          <c:showSerName val="0"/>
          <c:showPercent val="0"/>
          <c:showBubbleSize val="0"/>
        </c:dLbls>
        <c:marker val="1"/>
        <c:smooth val="0"/>
        <c:axId val="2128541984"/>
        <c:axId val="2128544944"/>
      </c:lineChart>
      <c:lineChart>
        <c:grouping val="standard"/>
        <c:varyColors val="0"/>
        <c:ser>
          <c:idx val="1"/>
          <c:order val="1"/>
          <c:tx>
            <c:strRef>
              <c:f>'Budget Constraint'!$I$2</c:f>
              <c:strCache>
                <c:ptCount val="1"/>
                <c:pt idx="0">
                  <c:v>Inflation (Right Axis)</c:v>
                </c:pt>
              </c:strCache>
            </c:strRef>
          </c:tx>
          <c:spPr>
            <a:ln>
              <a:solidFill>
                <a:schemeClr val="accent6">
                  <a:lumMod val="75000"/>
                </a:schemeClr>
              </a:solidFill>
            </a:ln>
          </c:spPr>
          <c:marker>
            <c:symbol val="none"/>
          </c:marker>
          <c:cat>
            <c:numRef>
              <c:f>'Budget Constraint'!$A$4:$A$15</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'Budget Constraint'!$I$4:$I$15</c:f>
              <c:numCache>
                <c:formatCode>0%</c:formatCode>
                <c:ptCount val="12"/>
                <c:pt idx="0">
                  <c:v>1.9999999999999796E-2</c:v>
                </c:pt>
                <c:pt idx="1">
                  <c:v>1.5686274509804088E-2</c:v>
                </c:pt>
                <c:pt idx="2">
                  <c:v>5.044222772771989E-2</c:v>
                </c:pt>
                <c:pt idx="3">
                  <c:v>3.9215686274509665E-2</c:v>
                </c:pt>
                <c:pt idx="4">
                  <c:v>1.3207547169811429E-2</c:v>
                </c:pt>
                <c:pt idx="5">
                  <c:v>5.5865921787707773E-3</c:v>
                </c:pt>
                <c:pt idx="6">
                  <c:v>2.6851851851851904E-2</c:v>
                </c:pt>
                <c:pt idx="7">
                  <c:v>-2.7051397655546428E-3</c:v>
                </c:pt>
                <c:pt idx="8">
                  <c:v>2.2603978300180794E-2</c:v>
                </c:pt>
                <c:pt idx="9">
                  <c:v>6.2776304155614637E-2</c:v>
                </c:pt>
                <c:pt idx="10">
                  <c:v>9.4841930116472462E-2</c:v>
                </c:pt>
                <c:pt idx="11">
                  <c:v>0.14133738601823698</c:v>
                </c:pt>
              </c:numCache>
            </c:numRef>
          </c:val>
          <c:smooth val="0"/>
          <c:extLst>
            <c:ext xmlns:c16="http://schemas.microsoft.com/office/drawing/2014/chart" uri="{C3380CC4-5D6E-409C-BE32-E72D297353CC}">
              <c16:uniqueId val="{00000001-FF8C-442E-B765-532D723B9D6B}"/>
            </c:ext>
          </c:extLst>
        </c:ser>
        <c:dLbls>
          <c:showLegendKey val="0"/>
          <c:showVal val="0"/>
          <c:showCatName val="0"/>
          <c:showSerName val="0"/>
          <c:showPercent val="0"/>
          <c:showBubbleSize val="0"/>
        </c:dLbls>
        <c:marker val="1"/>
        <c:smooth val="0"/>
        <c:axId val="2128966384"/>
        <c:axId val="2128969120"/>
      </c:lineChart>
      <c:catAx>
        <c:axId val="2128541984"/>
        <c:scaling>
          <c:orientation val="minMax"/>
        </c:scaling>
        <c:delete val="0"/>
        <c:axPos val="b"/>
        <c:numFmt formatCode="General" sourceLinked="1"/>
        <c:majorTickMark val="out"/>
        <c:minorTickMark val="none"/>
        <c:tickLblPos val="nextTo"/>
        <c:crossAx val="2128544944"/>
        <c:crosses val="autoZero"/>
        <c:auto val="1"/>
        <c:lblAlgn val="ctr"/>
        <c:lblOffset val="100"/>
        <c:noMultiLvlLbl val="0"/>
      </c:catAx>
      <c:valAx>
        <c:axId val="2128544944"/>
        <c:scaling>
          <c:orientation val="minMax"/>
        </c:scaling>
        <c:delete val="0"/>
        <c:axPos val="l"/>
        <c:majorGridlines>
          <c:spPr>
            <a:ln>
              <a:solidFill>
                <a:schemeClr val="bg1"/>
              </a:solidFill>
            </a:ln>
          </c:spPr>
        </c:majorGridlines>
        <c:numFmt formatCode="0.0%" sourceLinked="1"/>
        <c:majorTickMark val="out"/>
        <c:minorTickMark val="none"/>
        <c:tickLblPos val="nextTo"/>
        <c:crossAx val="2128541984"/>
        <c:crosses val="autoZero"/>
        <c:crossBetween val="between"/>
      </c:valAx>
      <c:valAx>
        <c:axId val="2128969120"/>
        <c:scaling>
          <c:orientation val="minMax"/>
        </c:scaling>
        <c:delete val="0"/>
        <c:axPos val="r"/>
        <c:numFmt formatCode="0%" sourceLinked="1"/>
        <c:majorTickMark val="out"/>
        <c:minorTickMark val="none"/>
        <c:tickLblPos val="nextTo"/>
        <c:crossAx val="2128966384"/>
        <c:crosses val="max"/>
        <c:crossBetween val="between"/>
      </c:valAx>
      <c:catAx>
        <c:axId val="2128966384"/>
        <c:scaling>
          <c:orientation val="minMax"/>
        </c:scaling>
        <c:delete val="1"/>
        <c:axPos val="b"/>
        <c:numFmt formatCode="General" sourceLinked="1"/>
        <c:majorTickMark val="out"/>
        <c:minorTickMark val="none"/>
        <c:tickLblPos val="nextTo"/>
        <c:crossAx val="2128969120"/>
        <c:crosses val="autoZero"/>
        <c:auto val="1"/>
        <c:lblAlgn val="ctr"/>
        <c:lblOffset val="100"/>
        <c:noMultiLvlLbl val="0"/>
      </c:catAx>
    </c:plotArea>
    <c:legend>
      <c:legendPos val="r"/>
      <c:layout>
        <c:manualLayout>
          <c:xMode val="edge"/>
          <c:yMode val="edge"/>
          <c:x val="0.22497593468698501"/>
          <c:y val="8.98196880880168E-3"/>
          <c:w val="0.57585709162018905"/>
          <c:h val="0.102047184533701"/>
        </c:manualLayout>
      </c:layout>
      <c:overlay val="0"/>
    </c:legend>
    <c:plotVisOnly val="1"/>
    <c:dispBlanksAs val="gap"/>
    <c:showDLblsOverMax val="0"/>
  </c:chart>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897335107993003E-2"/>
          <c:y val="5.1400554097404502E-2"/>
          <c:w val="0.83721345258382995"/>
          <c:h val="0.89719889180519097"/>
        </c:manualLayout>
      </c:layout>
      <c:lineChart>
        <c:grouping val="standard"/>
        <c:varyColors val="0"/>
        <c:ser>
          <c:idx val="0"/>
          <c:order val="0"/>
          <c:tx>
            <c:v>Primary Deficit/GDP</c:v>
          </c:tx>
          <c:marker>
            <c:symbol val="none"/>
          </c:marker>
          <c:cat>
            <c:numRef>
              <c:f>'Budget Constraint'!$A$16:$A$31</c:f>
              <c:numCache>
                <c:formatCode>General</c:formatCode>
                <c:ptCount val="1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numCache>
            </c:numRef>
          </c:cat>
          <c:val>
            <c:numRef>
              <c:f>'Budget Constraint'!$G$16:$G$31</c:f>
              <c:numCache>
                <c:formatCode>0.0%</c:formatCode>
                <c:ptCount val="16"/>
                <c:pt idx="0">
                  <c:v>5.7354628901372289E-3</c:v>
                </c:pt>
                <c:pt idx="1">
                  <c:v>5.1536322162330263E-2</c:v>
                </c:pt>
                <c:pt idx="2">
                  <c:v>2.7010973887993103E-2</c:v>
                </c:pt>
                <c:pt idx="3">
                  <c:v>9.660644420555883E-3</c:v>
                </c:pt>
                <c:pt idx="4">
                  <c:v>1.4848140573661369E-2</c:v>
                </c:pt>
                <c:pt idx="5">
                  <c:v>-1.6197041106123272E-2</c:v>
                </c:pt>
                <c:pt idx="6">
                  <c:v>-4.0330144684853214E-3</c:v>
                </c:pt>
                <c:pt idx="7">
                  <c:v>2.8817987670056652E-2</c:v>
                </c:pt>
                <c:pt idx="8">
                  <c:v>1.0027406966066769E-2</c:v>
                </c:pt>
                <c:pt idx="9">
                  <c:v>4.9542549409997978E-2</c:v>
                </c:pt>
                <c:pt idx="10">
                  <c:v>5.7739397128618239E-2</c:v>
                </c:pt>
                <c:pt idx="11">
                  <c:v>2.1256641375142372E-2</c:v>
                </c:pt>
                <c:pt idx="12">
                  <c:v>1.3762587028057976E-2</c:v>
                </c:pt>
                <c:pt idx="13">
                  <c:v>8.2117265722302917E-3</c:v>
                </c:pt>
                <c:pt idx="14">
                  <c:v>1.3754138281225627E-2</c:v>
                </c:pt>
                <c:pt idx="15">
                  <c:v>2.9187890876385052E-3</c:v>
                </c:pt>
              </c:numCache>
            </c:numRef>
          </c:val>
          <c:smooth val="0"/>
          <c:extLst>
            <c:ext xmlns:c16="http://schemas.microsoft.com/office/drawing/2014/chart" uri="{C3380CC4-5D6E-409C-BE32-E72D297353CC}">
              <c16:uniqueId val="{00000000-69C8-495E-8381-6F7C657B5E2C}"/>
            </c:ext>
          </c:extLst>
        </c:ser>
        <c:dLbls>
          <c:showLegendKey val="0"/>
          <c:showVal val="0"/>
          <c:showCatName val="0"/>
          <c:showSerName val="0"/>
          <c:showPercent val="0"/>
          <c:showBubbleSize val="0"/>
        </c:dLbls>
        <c:marker val="1"/>
        <c:smooth val="0"/>
        <c:axId val="2128946816"/>
        <c:axId val="2128943840"/>
      </c:lineChart>
      <c:lineChart>
        <c:grouping val="standard"/>
        <c:varyColors val="0"/>
        <c:ser>
          <c:idx val="1"/>
          <c:order val="1"/>
          <c:tx>
            <c:strRef>
              <c:f>'Budget Constraint'!$I$2</c:f>
              <c:strCache>
                <c:ptCount val="1"/>
                <c:pt idx="0">
                  <c:v>Inflation (Right Axis)</c:v>
                </c:pt>
              </c:strCache>
            </c:strRef>
          </c:tx>
          <c:spPr>
            <a:ln>
              <a:solidFill>
                <a:schemeClr val="accent6">
                  <a:lumMod val="75000"/>
                </a:schemeClr>
              </a:solidFill>
            </a:ln>
          </c:spPr>
          <c:marker>
            <c:symbol val="none"/>
          </c:marker>
          <c:cat>
            <c:numRef>
              <c:f>'Budget Constraint'!$A$16:$A$31</c:f>
              <c:numCache>
                <c:formatCode>General</c:formatCode>
                <c:ptCount val="1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numCache>
            </c:numRef>
          </c:cat>
          <c:val>
            <c:numRef>
              <c:f>'Budget Constraint'!$I$16:$I$31</c:f>
              <c:numCache>
                <c:formatCode>0%</c:formatCode>
                <c:ptCount val="16"/>
                <c:pt idx="0">
                  <c:v>0.2197070572569908</c:v>
                </c:pt>
                <c:pt idx="1">
                  <c:v>8.6790393013100431E-2</c:v>
                </c:pt>
                <c:pt idx="2">
                  <c:v>3.3651431441486634E-2</c:v>
                </c:pt>
                <c:pt idx="3">
                  <c:v>9.3780369290573207E-2</c:v>
                </c:pt>
                <c:pt idx="4">
                  <c:v>0.16836961350510871</c:v>
                </c:pt>
                <c:pt idx="5">
                  <c:v>0.35703422053231959</c:v>
                </c:pt>
                <c:pt idx="6">
                  <c:v>0.15017255226305104</c:v>
                </c:pt>
                <c:pt idx="7">
                  <c:v>8.1180811808118092E-2</c:v>
                </c:pt>
                <c:pt idx="8">
                  <c:v>8.8737201365187701E-2</c:v>
                </c:pt>
                <c:pt idx="9">
                  <c:v>0.14106583072100309</c:v>
                </c:pt>
                <c:pt idx="10">
                  <c:v>0.29807692307692291</c:v>
                </c:pt>
                <c:pt idx="11">
                  <c:v>0.23068783068783083</c:v>
                </c:pt>
                <c:pt idx="12">
                  <c:v>0.24118658641444535</c:v>
                </c:pt>
                <c:pt idx="13">
                  <c:v>0.32040180117769324</c:v>
                </c:pt>
                <c:pt idx="14">
                  <c:v>0.16946484784889826</c:v>
                </c:pt>
                <c:pt idx="15">
                  <c:v>0.28532974427994606</c:v>
                </c:pt>
              </c:numCache>
            </c:numRef>
          </c:val>
          <c:smooth val="0"/>
          <c:extLst>
            <c:ext xmlns:c16="http://schemas.microsoft.com/office/drawing/2014/chart" uri="{C3380CC4-5D6E-409C-BE32-E72D297353CC}">
              <c16:uniqueId val="{00000001-69C8-495E-8381-6F7C657B5E2C}"/>
            </c:ext>
          </c:extLst>
        </c:ser>
        <c:dLbls>
          <c:showLegendKey val="0"/>
          <c:showVal val="0"/>
          <c:showCatName val="0"/>
          <c:showSerName val="0"/>
          <c:showPercent val="0"/>
          <c:showBubbleSize val="0"/>
        </c:dLbls>
        <c:marker val="1"/>
        <c:smooth val="0"/>
        <c:axId val="2128566400"/>
        <c:axId val="2128563824"/>
      </c:lineChart>
      <c:catAx>
        <c:axId val="2128946816"/>
        <c:scaling>
          <c:orientation val="minMax"/>
        </c:scaling>
        <c:delete val="0"/>
        <c:axPos val="b"/>
        <c:numFmt formatCode="General" sourceLinked="1"/>
        <c:majorTickMark val="out"/>
        <c:minorTickMark val="none"/>
        <c:tickLblPos val="nextTo"/>
        <c:crossAx val="2128943840"/>
        <c:crosses val="autoZero"/>
        <c:auto val="1"/>
        <c:lblAlgn val="ctr"/>
        <c:lblOffset val="100"/>
        <c:noMultiLvlLbl val="0"/>
      </c:catAx>
      <c:valAx>
        <c:axId val="2128943840"/>
        <c:scaling>
          <c:orientation val="minMax"/>
        </c:scaling>
        <c:delete val="0"/>
        <c:axPos val="l"/>
        <c:majorGridlines>
          <c:spPr>
            <a:ln>
              <a:solidFill>
                <a:schemeClr val="bg1"/>
              </a:solidFill>
            </a:ln>
          </c:spPr>
        </c:majorGridlines>
        <c:numFmt formatCode="0.0%" sourceLinked="1"/>
        <c:majorTickMark val="out"/>
        <c:minorTickMark val="none"/>
        <c:tickLblPos val="nextTo"/>
        <c:crossAx val="2128946816"/>
        <c:crosses val="autoZero"/>
        <c:crossBetween val="between"/>
      </c:valAx>
      <c:valAx>
        <c:axId val="2128563824"/>
        <c:scaling>
          <c:orientation val="minMax"/>
        </c:scaling>
        <c:delete val="0"/>
        <c:axPos val="r"/>
        <c:numFmt formatCode="0%" sourceLinked="1"/>
        <c:majorTickMark val="out"/>
        <c:minorTickMark val="none"/>
        <c:tickLblPos val="nextTo"/>
        <c:crossAx val="2128566400"/>
        <c:crosses val="max"/>
        <c:crossBetween val="between"/>
      </c:valAx>
      <c:catAx>
        <c:axId val="2128566400"/>
        <c:scaling>
          <c:orientation val="minMax"/>
        </c:scaling>
        <c:delete val="1"/>
        <c:axPos val="b"/>
        <c:numFmt formatCode="General" sourceLinked="1"/>
        <c:majorTickMark val="out"/>
        <c:minorTickMark val="none"/>
        <c:tickLblPos val="nextTo"/>
        <c:crossAx val="2128563824"/>
        <c:crosses val="autoZero"/>
        <c:auto val="1"/>
        <c:lblAlgn val="ctr"/>
        <c:lblOffset val="100"/>
        <c:noMultiLvlLbl val="0"/>
      </c:catAx>
    </c:plotArea>
    <c:legend>
      <c:legendPos val="r"/>
      <c:layout>
        <c:manualLayout>
          <c:xMode val="edge"/>
          <c:yMode val="edge"/>
          <c:x val="0.20101444781604999"/>
          <c:y val="4.1974545944233098E-3"/>
          <c:w val="0.58592916701129705"/>
          <c:h val="9.8160338119760202E-2"/>
        </c:manualLayout>
      </c:layout>
      <c:overlay val="0"/>
    </c:legend>
    <c:plotVisOnly val="1"/>
    <c:dispBlanksAs val="gap"/>
    <c:showDLblsOverMax val="0"/>
  </c:chart>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897335107993003E-2"/>
          <c:y val="5.1400554097404502E-2"/>
          <c:w val="0.83721345258382995"/>
          <c:h val="0.89719889180519097"/>
        </c:manualLayout>
      </c:layout>
      <c:lineChart>
        <c:grouping val="standard"/>
        <c:varyColors val="0"/>
        <c:ser>
          <c:idx val="0"/>
          <c:order val="0"/>
          <c:tx>
            <c:v>Primary Deficit/GDP</c:v>
          </c:tx>
          <c:marker>
            <c:symbol val="none"/>
          </c:marker>
          <c:cat>
            <c:numRef>
              <c:f>'Budget Constraint'!$A$46:$A$56</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'Budget Constraint'!$G$46:$G$56</c:f>
              <c:numCache>
                <c:formatCode>0.0%</c:formatCode>
                <c:ptCount val="11"/>
                <c:pt idx="0">
                  <c:v>-2.1459125152034349E-2</c:v>
                </c:pt>
                <c:pt idx="1">
                  <c:v>-1.4589933950646556E-2</c:v>
                </c:pt>
                <c:pt idx="2">
                  <c:v>-2.0807571819353624E-2</c:v>
                </c:pt>
                <c:pt idx="3">
                  <c:v>-1.8132912118761356E-2</c:v>
                </c:pt>
                <c:pt idx="4">
                  <c:v>-3.0258425469593144E-2</c:v>
                </c:pt>
                <c:pt idx="5">
                  <c:v>3.4338402826252822E-3</c:v>
                </c:pt>
                <c:pt idx="6">
                  <c:v>-8.929349655473191E-3</c:v>
                </c:pt>
                <c:pt idx="7">
                  <c:v>-1.3615591717657808E-2</c:v>
                </c:pt>
                <c:pt idx="8">
                  <c:v>1.5447232822953856E-2</c:v>
                </c:pt>
                <c:pt idx="9">
                  <c:v>1.7664602327587233E-2</c:v>
                </c:pt>
                <c:pt idx="10">
                  <c:v>1.2994887700163785E-2</c:v>
                </c:pt>
              </c:numCache>
            </c:numRef>
          </c:val>
          <c:smooth val="0"/>
          <c:extLst>
            <c:ext xmlns:c16="http://schemas.microsoft.com/office/drawing/2014/chart" uri="{C3380CC4-5D6E-409C-BE32-E72D297353CC}">
              <c16:uniqueId val="{00000000-15DB-4C41-9782-4B91B3331E0F}"/>
            </c:ext>
          </c:extLst>
        </c:ser>
        <c:dLbls>
          <c:showLegendKey val="0"/>
          <c:showVal val="0"/>
          <c:showCatName val="0"/>
          <c:showSerName val="0"/>
          <c:showPercent val="0"/>
          <c:showBubbleSize val="0"/>
        </c:dLbls>
        <c:marker val="1"/>
        <c:smooth val="0"/>
        <c:axId val="2128586896"/>
        <c:axId val="2128924448"/>
      </c:lineChart>
      <c:lineChart>
        <c:grouping val="standard"/>
        <c:varyColors val="0"/>
        <c:ser>
          <c:idx val="1"/>
          <c:order val="1"/>
          <c:tx>
            <c:strRef>
              <c:f>'Budget Constraint'!$I$2</c:f>
              <c:strCache>
                <c:ptCount val="1"/>
                <c:pt idx="0">
                  <c:v>Inflation (Right Axis)</c:v>
                </c:pt>
              </c:strCache>
            </c:strRef>
          </c:tx>
          <c:spPr>
            <a:ln>
              <a:solidFill>
                <a:schemeClr val="accent6">
                  <a:lumMod val="75000"/>
                </a:schemeClr>
              </a:solidFill>
            </a:ln>
          </c:spPr>
          <c:marker>
            <c:symbol val="none"/>
          </c:marker>
          <c:cat>
            <c:numRef>
              <c:f>'Budget Constraint'!$A$46:$A$58</c:f>
              <c:numCache>
                <c:formatCode>General</c:formatCod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numCache>
            </c:numRef>
          </c:cat>
          <c:val>
            <c:numRef>
              <c:f>'Budget Constraint'!$I$46:$I$56</c:f>
              <c:numCache>
                <c:formatCode>0%</c:formatCode>
                <c:ptCount val="11"/>
                <c:pt idx="0">
                  <c:v>2.8136663795578443E-2</c:v>
                </c:pt>
                <c:pt idx="1">
                  <c:v>9.8575816810946515E-2</c:v>
                </c:pt>
                <c:pt idx="2">
                  <c:v>0.12480935434672102</c:v>
                </c:pt>
                <c:pt idx="3">
                  <c:v>5.966101694915249E-2</c:v>
                </c:pt>
                <c:pt idx="4">
                  <c:v>7.4999999999999956E-2</c:v>
                </c:pt>
                <c:pt idx="5">
                  <c:v>1.8604651162790642E-2</c:v>
                </c:pt>
                <c:pt idx="6">
                  <c:v>7.214611872146115E-2</c:v>
                </c:pt>
                <c:pt idx="7">
                  <c:v>4.9403747870528036E-2</c:v>
                </c:pt>
                <c:pt idx="8">
                  <c:v>3.9772727272727293E-2</c:v>
                </c:pt>
                <c:pt idx="9">
                  <c:v>3.7470725995316201E-2</c:v>
                </c:pt>
                <c:pt idx="10">
                  <c:v>4.2136945071482357E-2</c:v>
                </c:pt>
              </c:numCache>
            </c:numRef>
          </c:val>
          <c:smooth val="0"/>
          <c:extLst>
            <c:ext xmlns:c16="http://schemas.microsoft.com/office/drawing/2014/chart" uri="{C3380CC4-5D6E-409C-BE32-E72D297353CC}">
              <c16:uniqueId val="{00000001-15DB-4C41-9782-4B91B3331E0F}"/>
            </c:ext>
          </c:extLst>
        </c:ser>
        <c:dLbls>
          <c:showLegendKey val="0"/>
          <c:showVal val="0"/>
          <c:showCatName val="0"/>
          <c:showSerName val="0"/>
          <c:showPercent val="0"/>
          <c:showBubbleSize val="0"/>
        </c:dLbls>
        <c:marker val="1"/>
        <c:smooth val="0"/>
        <c:axId val="2128587424"/>
        <c:axId val="2128921088"/>
      </c:lineChart>
      <c:catAx>
        <c:axId val="2128586896"/>
        <c:scaling>
          <c:orientation val="minMax"/>
        </c:scaling>
        <c:delete val="0"/>
        <c:axPos val="b"/>
        <c:numFmt formatCode="General" sourceLinked="1"/>
        <c:majorTickMark val="out"/>
        <c:minorTickMark val="none"/>
        <c:tickLblPos val="nextTo"/>
        <c:crossAx val="2128924448"/>
        <c:crosses val="autoZero"/>
        <c:auto val="1"/>
        <c:lblAlgn val="ctr"/>
        <c:lblOffset val="100"/>
        <c:noMultiLvlLbl val="0"/>
      </c:catAx>
      <c:valAx>
        <c:axId val="2128924448"/>
        <c:scaling>
          <c:orientation val="minMax"/>
        </c:scaling>
        <c:delete val="0"/>
        <c:axPos val="l"/>
        <c:majorGridlines>
          <c:spPr>
            <a:ln>
              <a:solidFill>
                <a:schemeClr val="bg1"/>
              </a:solidFill>
            </a:ln>
          </c:spPr>
        </c:majorGridlines>
        <c:numFmt formatCode="0.0%" sourceLinked="1"/>
        <c:majorTickMark val="out"/>
        <c:minorTickMark val="none"/>
        <c:tickLblPos val="nextTo"/>
        <c:crossAx val="2128586896"/>
        <c:crosses val="autoZero"/>
        <c:crossBetween val="between"/>
      </c:valAx>
      <c:valAx>
        <c:axId val="2128921088"/>
        <c:scaling>
          <c:orientation val="minMax"/>
        </c:scaling>
        <c:delete val="0"/>
        <c:axPos val="r"/>
        <c:numFmt formatCode="0%" sourceLinked="1"/>
        <c:majorTickMark val="out"/>
        <c:minorTickMark val="none"/>
        <c:tickLblPos val="nextTo"/>
        <c:crossAx val="2128587424"/>
        <c:crosses val="max"/>
        <c:crossBetween val="between"/>
      </c:valAx>
      <c:catAx>
        <c:axId val="2128587424"/>
        <c:scaling>
          <c:orientation val="minMax"/>
        </c:scaling>
        <c:delete val="1"/>
        <c:axPos val="b"/>
        <c:numFmt formatCode="General" sourceLinked="1"/>
        <c:majorTickMark val="out"/>
        <c:minorTickMark val="none"/>
        <c:tickLblPos val="nextTo"/>
        <c:crossAx val="2128921088"/>
        <c:crosses val="autoZero"/>
        <c:auto val="1"/>
        <c:lblAlgn val="ctr"/>
        <c:lblOffset val="100"/>
        <c:noMultiLvlLbl val="0"/>
      </c:catAx>
    </c:plotArea>
    <c:legend>
      <c:legendPos val="r"/>
      <c:layout>
        <c:manualLayout>
          <c:xMode val="edge"/>
          <c:yMode val="edge"/>
          <c:x val="0.20113187596078"/>
          <c:y val="4.1977216274330098E-3"/>
          <c:w val="0.61797769279858406"/>
          <c:h val="9.8160338119760202E-2"/>
        </c:manualLayout>
      </c:layout>
      <c:overlay val="0"/>
    </c:legend>
    <c:plotVisOnly val="1"/>
    <c:dispBlanksAs val="gap"/>
    <c:showDLblsOverMax val="0"/>
  </c:chart>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897335107993003E-2"/>
          <c:y val="5.1400554097404502E-2"/>
          <c:w val="0.83721345258382995"/>
          <c:h val="0.89719889180519097"/>
        </c:manualLayout>
      </c:layout>
      <c:lineChart>
        <c:grouping val="standard"/>
        <c:varyColors val="0"/>
        <c:ser>
          <c:idx val="0"/>
          <c:order val="0"/>
          <c:tx>
            <c:v>Primary Deficit/GDP</c:v>
          </c:tx>
          <c:marker>
            <c:symbol val="none"/>
          </c:marker>
          <c:cat>
            <c:numRef>
              <c:f>'Budget Constraint'!$A$32:$A$45</c:f>
              <c:numCache>
                <c:formatCode>General</c:formatCode>
                <c:ptCount val="1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numCache>
            </c:numRef>
          </c:cat>
          <c:val>
            <c:numRef>
              <c:f>'Budget Constraint'!$G$32:$G$45</c:f>
              <c:numCache>
                <c:formatCode>0.0%</c:formatCode>
                <c:ptCount val="14"/>
                <c:pt idx="0">
                  <c:v>-5.1578931272886701E-2</c:v>
                </c:pt>
                <c:pt idx="1">
                  <c:v>-1.836441469103639E-2</c:v>
                </c:pt>
                <c:pt idx="2">
                  <c:v>-1.9856164580878588E-3</c:v>
                </c:pt>
                <c:pt idx="3">
                  <c:v>-1.5787664704104053E-2</c:v>
                </c:pt>
                <c:pt idx="4">
                  <c:v>-2.8648906239615881E-2</c:v>
                </c:pt>
                <c:pt idx="5">
                  <c:v>-1.17093173374683E-2</c:v>
                </c:pt>
                <c:pt idx="6">
                  <c:v>-1.0046038470536353E-2</c:v>
                </c:pt>
                <c:pt idx="7">
                  <c:v>7.4569472001049875E-3</c:v>
                </c:pt>
                <c:pt idx="8">
                  <c:v>-1.7627308929904783E-2</c:v>
                </c:pt>
                <c:pt idx="9">
                  <c:v>2.8575712199309728E-2</c:v>
                </c:pt>
                <c:pt idx="10">
                  <c:v>2.8945353052905715E-2</c:v>
                </c:pt>
                <c:pt idx="11">
                  <c:v>-9.9838576704444661E-3</c:v>
                </c:pt>
                <c:pt idx="12">
                  <c:v>2.0637656403093251E-2</c:v>
                </c:pt>
                <c:pt idx="13">
                  <c:v>-1.062269985414103E-2</c:v>
                </c:pt>
              </c:numCache>
            </c:numRef>
          </c:val>
          <c:smooth val="0"/>
          <c:extLst>
            <c:ext xmlns:c16="http://schemas.microsoft.com/office/drawing/2014/chart" uri="{C3380CC4-5D6E-409C-BE32-E72D297353CC}">
              <c16:uniqueId val="{00000000-078E-4D01-9864-9A43D2768C5B}"/>
            </c:ext>
          </c:extLst>
        </c:ser>
        <c:dLbls>
          <c:showLegendKey val="0"/>
          <c:showVal val="0"/>
          <c:showCatName val="0"/>
          <c:showSerName val="0"/>
          <c:showPercent val="0"/>
          <c:showBubbleSize val="0"/>
        </c:dLbls>
        <c:marker val="1"/>
        <c:smooth val="0"/>
        <c:axId val="2128900800"/>
        <c:axId val="2128590880"/>
      </c:lineChart>
      <c:lineChart>
        <c:grouping val="standard"/>
        <c:varyColors val="0"/>
        <c:ser>
          <c:idx val="1"/>
          <c:order val="1"/>
          <c:tx>
            <c:strRef>
              <c:f>'Budget Constraint'!$I$2</c:f>
              <c:strCache>
                <c:ptCount val="1"/>
                <c:pt idx="0">
                  <c:v>Inflation (Right Axis)</c:v>
                </c:pt>
              </c:strCache>
            </c:strRef>
          </c:tx>
          <c:spPr>
            <a:ln>
              <a:solidFill>
                <a:schemeClr val="accent6">
                  <a:lumMod val="75000"/>
                </a:schemeClr>
              </a:solidFill>
            </a:ln>
          </c:spPr>
          <c:marker>
            <c:symbol val="none"/>
          </c:marker>
          <c:cat>
            <c:numRef>
              <c:f>'Budget Constraint'!$A$32:$A$45</c:f>
              <c:numCache>
                <c:formatCode>General</c:formatCode>
                <c:ptCount val="1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numCache>
            </c:numRef>
          </c:cat>
          <c:val>
            <c:numRef>
              <c:f>'Budget Constraint'!$I$32:$I$45</c:f>
              <c:numCache>
                <c:formatCode>0%</c:formatCode>
                <c:ptCount val="14"/>
                <c:pt idx="0">
                  <c:v>0.44066317626527063</c:v>
                </c:pt>
                <c:pt idx="1">
                  <c:v>0.11811023622047245</c:v>
                </c:pt>
                <c:pt idx="2">
                  <c:v>0.17811484290357549</c:v>
                </c:pt>
                <c:pt idx="3">
                  <c:v>0.20406474158543286</c:v>
                </c:pt>
                <c:pt idx="4">
                  <c:v>0.18276941877339037</c:v>
                </c:pt>
                <c:pt idx="5">
                  <c:v>0.10533159947984405</c:v>
                </c:pt>
                <c:pt idx="6">
                  <c:v>8.1764705882352962E-2</c:v>
                </c:pt>
                <c:pt idx="7">
                  <c:v>6.1990212071778128E-2</c:v>
                </c:pt>
                <c:pt idx="8">
                  <c:v>0.14644137224782372</c:v>
                </c:pt>
                <c:pt idx="9">
                  <c:v>5.4041983028137563E-2</c:v>
                </c:pt>
                <c:pt idx="10">
                  <c:v>8.6440677966101553E-2</c:v>
                </c:pt>
                <c:pt idx="11">
                  <c:v>8.3853354134165503E-2</c:v>
                </c:pt>
                <c:pt idx="12">
                  <c:v>0.14645555955379663</c:v>
                </c:pt>
                <c:pt idx="13">
                  <c:v>9.3220338983050821E-2</c:v>
                </c:pt>
              </c:numCache>
            </c:numRef>
          </c:val>
          <c:smooth val="0"/>
          <c:extLst>
            <c:ext xmlns:c16="http://schemas.microsoft.com/office/drawing/2014/chart" uri="{C3380CC4-5D6E-409C-BE32-E72D297353CC}">
              <c16:uniqueId val="{00000001-078E-4D01-9864-9A43D2768C5B}"/>
            </c:ext>
          </c:extLst>
        </c:ser>
        <c:dLbls>
          <c:showLegendKey val="0"/>
          <c:showVal val="0"/>
          <c:showCatName val="0"/>
          <c:showSerName val="0"/>
          <c:showPercent val="0"/>
          <c:showBubbleSize val="0"/>
        </c:dLbls>
        <c:marker val="1"/>
        <c:smooth val="0"/>
        <c:axId val="2127988400"/>
        <c:axId val="2127991136"/>
      </c:lineChart>
      <c:catAx>
        <c:axId val="2128900800"/>
        <c:scaling>
          <c:orientation val="minMax"/>
        </c:scaling>
        <c:delete val="0"/>
        <c:axPos val="b"/>
        <c:numFmt formatCode="General" sourceLinked="1"/>
        <c:majorTickMark val="out"/>
        <c:minorTickMark val="none"/>
        <c:tickLblPos val="nextTo"/>
        <c:crossAx val="2128590880"/>
        <c:crosses val="autoZero"/>
        <c:auto val="1"/>
        <c:lblAlgn val="ctr"/>
        <c:lblOffset val="100"/>
        <c:noMultiLvlLbl val="0"/>
      </c:catAx>
      <c:valAx>
        <c:axId val="2128590880"/>
        <c:scaling>
          <c:orientation val="minMax"/>
        </c:scaling>
        <c:delete val="0"/>
        <c:axPos val="l"/>
        <c:majorGridlines>
          <c:spPr>
            <a:ln>
              <a:solidFill>
                <a:schemeClr val="bg1"/>
              </a:solidFill>
            </a:ln>
          </c:spPr>
        </c:majorGridlines>
        <c:numFmt formatCode="0.0%" sourceLinked="1"/>
        <c:majorTickMark val="out"/>
        <c:minorTickMark val="none"/>
        <c:tickLblPos val="nextTo"/>
        <c:crossAx val="2128900800"/>
        <c:crosses val="autoZero"/>
        <c:crossBetween val="between"/>
      </c:valAx>
      <c:valAx>
        <c:axId val="2127991136"/>
        <c:scaling>
          <c:orientation val="minMax"/>
        </c:scaling>
        <c:delete val="0"/>
        <c:axPos val="r"/>
        <c:numFmt formatCode="0%" sourceLinked="1"/>
        <c:majorTickMark val="out"/>
        <c:minorTickMark val="none"/>
        <c:tickLblPos val="nextTo"/>
        <c:crossAx val="2127988400"/>
        <c:crosses val="max"/>
        <c:crossBetween val="between"/>
      </c:valAx>
      <c:catAx>
        <c:axId val="2127988400"/>
        <c:scaling>
          <c:orientation val="minMax"/>
        </c:scaling>
        <c:delete val="1"/>
        <c:axPos val="b"/>
        <c:numFmt formatCode="General" sourceLinked="1"/>
        <c:majorTickMark val="out"/>
        <c:minorTickMark val="none"/>
        <c:tickLblPos val="nextTo"/>
        <c:crossAx val="2127991136"/>
        <c:crosses val="autoZero"/>
        <c:auto val="1"/>
        <c:lblAlgn val="ctr"/>
        <c:lblOffset val="100"/>
        <c:noMultiLvlLbl val="0"/>
      </c:catAx>
    </c:plotArea>
    <c:legend>
      <c:legendPos val="r"/>
      <c:layout>
        <c:manualLayout>
          <c:xMode val="edge"/>
          <c:yMode val="edge"/>
          <c:x val="0.19105092855460501"/>
          <c:y val="8.8353287531067002E-3"/>
          <c:w val="0.58834251805753601"/>
          <c:h val="9.8160338119760202E-2"/>
        </c:manualLayout>
      </c:layout>
      <c:overlay val="0"/>
    </c:legend>
    <c:plotVisOnly val="1"/>
    <c:dispBlanksAs val="gap"/>
    <c:showDLblsOverMax val="0"/>
  </c:chart>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897335107993003E-2"/>
          <c:y val="5.1400554097404502E-2"/>
          <c:w val="0.83721345258382995"/>
          <c:h val="0.89719889180519097"/>
        </c:manualLayout>
      </c:layout>
      <c:lineChart>
        <c:grouping val="standard"/>
        <c:varyColors val="0"/>
        <c:ser>
          <c:idx val="0"/>
          <c:order val="0"/>
          <c:tx>
            <c:v>External Public Debt asjusted by RER/GDP</c:v>
          </c:tx>
          <c:marker>
            <c:symbol val="none"/>
          </c:marker>
          <c:cat>
            <c:numRef>
              <c:f>'Budget Constraint'!$A$4:$A$15</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'Budget Constraint'!$B$4:$B$15</c:f>
              <c:numCache>
                <c:formatCode>0.00%</c:formatCode>
                <c:ptCount val="12"/>
                <c:pt idx="0">
                  <c:v>-3.2507398180374458E-3</c:v>
                </c:pt>
                <c:pt idx="1">
                  <c:v>-4.2398145169607465E-3</c:v>
                </c:pt>
                <c:pt idx="2">
                  <c:v>3.3328193246151411E-3</c:v>
                </c:pt>
                <c:pt idx="3">
                  <c:v>1.1634015183941568E-2</c:v>
                </c:pt>
                <c:pt idx="4">
                  <c:v>2.0660812411326945E-2</c:v>
                </c:pt>
                <c:pt idx="5">
                  <c:v>4.3893401200626125E-2</c:v>
                </c:pt>
                <c:pt idx="6">
                  <c:v>3.1531179727712466E-2</c:v>
                </c:pt>
                <c:pt idx="7">
                  <c:v>3.1789324234595406E-2</c:v>
                </c:pt>
                <c:pt idx="8">
                  <c:v>2.7907820631068614E-2</c:v>
                </c:pt>
                <c:pt idx="9">
                  <c:v>1.3342664871368592E-3</c:v>
                </c:pt>
                <c:pt idx="10">
                  <c:v>-1.6007520537650838E-2</c:v>
                </c:pt>
                <c:pt idx="11">
                  <c:v>-2.913930763329653E-2</c:v>
                </c:pt>
              </c:numCache>
            </c:numRef>
          </c:val>
          <c:smooth val="0"/>
          <c:extLst>
            <c:ext xmlns:c16="http://schemas.microsoft.com/office/drawing/2014/chart" uri="{C3380CC4-5D6E-409C-BE32-E72D297353CC}">
              <c16:uniqueId val="{00000000-0F5C-486A-9F4E-7205D9B72D63}"/>
            </c:ext>
          </c:extLst>
        </c:ser>
        <c:ser>
          <c:idx val="1"/>
          <c:order val="1"/>
          <c:tx>
            <c:v>Seignorage (Right Axis)</c:v>
          </c:tx>
          <c:spPr>
            <a:ln>
              <a:solidFill>
                <a:schemeClr val="accent6">
                  <a:lumMod val="75000"/>
                </a:schemeClr>
              </a:solidFill>
            </a:ln>
          </c:spPr>
          <c:marker>
            <c:symbol val="none"/>
          </c:marker>
          <c:cat>
            <c:numRef>
              <c:f>'Budget Constraint'!$A$4:$A$15</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'Budget Constraint'!$D$4:$D$15</c:f>
              <c:numCache>
                <c:formatCode>0.000%</c:formatCode>
                <c:ptCount val="12"/>
                <c:pt idx="0">
                  <c:v>3.870596315010924E-3</c:v>
                </c:pt>
                <c:pt idx="1">
                  <c:v>4.2910526026393109E-3</c:v>
                </c:pt>
                <c:pt idx="2">
                  <c:v>7.1143177875160404E-3</c:v>
                </c:pt>
                <c:pt idx="3">
                  <c:v>8.8493676752784949E-3</c:v>
                </c:pt>
                <c:pt idx="4">
                  <c:v>3.2351657460736754E-3</c:v>
                </c:pt>
                <c:pt idx="5">
                  <c:v>8.7670254488262708E-3</c:v>
                </c:pt>
                <c:pt idx="6">
                  <c:v>6.9501727944649636E-3</c:v>
                </c:pt>
                <c:pt idx="7">
                  <c:v>4.5587874943887382E-3</c:v>
                </c:pt>
                <c:pt idx="8">
                  <c:v>7.6404901472605048E-3</c:v>
                </c:pt>
                <c:pt idx="9">
                  <c:v>1.2871769898893996E-2</c:v>
                </c:pt>
                <c:pt idx="10">
                  <c:v>1.7080909762012476E-2</c:v>
                </c:pt>
                <c:pt idx="11">
                  <c:v>2.4089246542964109E-2</c:v>
                </c:pt>
              </c:numCache>
            </c:numRef>
          </c:val>
          <c:smooth val="0"/>
          <c:extLst>
            <c:ext xmlns:c16="http://schemas.microsoft.com/office/drawing/2014/chart" uri="{C3380CC4-5D6E-409C-BE32-E72D297353CC}">
              <c16:uniqueId val="{00000001-0F5C-486A-9F4E-7205D9B72D63}"/>
            </c:ext>
          </c:extLst>
        </c:ser>
        <c:ser>
          <c:idx val="2"/>
          <c:order val="2"/>
          <c:tx>
            <c:v>Monetary Base/GDP (Right Axis)</c:v>
          </c:tx>
          <c:marker>
            <c:symbol val="none"/>
          </c:marker>
          <c:cat>
            <c:numRef>
              <c:f>'Budget Constraint'!$A$4:$A$15</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'Budget Constraint'!$C$4:$C$15</c:f>
              <c:numCache>
                <c:formatCode>0%</c:formatCode>
                <c:ptCount val="12"/>
                <c:pt idx="0">
                  <c:v>-4.1620856553350322E-3</c:v>
                </c:pt>
                <c:pt idx="1">
                  <c:v>1.0408721237318772E-2</c:v>
                </c:pt>
                <c:pt idx="2">
                  <c:v>1.2258669631175181E-2</c:v>
                </c:pt>
                <c:pt idx="3">
                  <c:v>5.6339370638831543E-3</c:v>
                </c:pt>
                <c:pt idx="4">
                  <c:v>-1.5464032586697263E-3</c:v>
                </c:pt>
                <c:pt idx="5">
                  <c:v>3.1272115559478342E-3</c:v>
                </c:pt>
                <c:pt idx="6">
                  <c:v>6.0283559832402384E-3</c:v>
                </c:pt>
                <c:pt idx="7">
                  <c:v>-3.8711649803380571E-3</c:v>
                </c:pt>
                <c:pt idx="8">
                  <c:v>1.4818975768688347E-2</c:v>
                </c:pt>
                <c:pt idx="9">
                  <c:v>3.9535807323587413E-4</c:v>
                </c:pt>
                <c:pt idx="10">
                  <c:v>1.2211151225587316E-2</c:v>
                </c:pt>
                <c:pt idx="11">
                  <c:v>-1.1559127513697531E-3</c:v>
                </c:pt>
              </c:numCache>
            </c:numRef>
          </c:val>
          <c:smooth val="0"/>
          <c:extLst>
            <c:ext xmlns:c16="http://schemas.microsoft.com/office/drawing/2014/chart" uri="{C3380CC4-5D6E-409C-BE32-E72D297353CC}">
              <c16:uniqueId val="{00000002-0F5C-486A-9F4E-7205D9B72D63}"/>
            </c:ext>
          </c:extLst>
        </c:ser>
        <c:dLbls>
          <c:showLegendKey val="0"/>
          <c:showVal val="0"/>
          <c:showCatName val="0"/>
          <c:showSerName val="0"/>
          <c:showPercent val="0"/>
          <c:showBubbleSize val="0"/>
        </c:dLbls>
        <c:smooth val="0"/>
        <c:axId val="2128868832"/>
        <c:axId val="2128865776"/>
      </c:lineChart>
      <c:catAx>
        <c:axId val="2128868832"/>
        <c:scaling>
          <c:orientation val="minMax"/>
        </c:scaling>
        <c:delete val="0"/>
        <c:axPos val="b"/>
        <c:numFmt formatCode="General" sourceLinked="1"/>
        <c:majorTickMark val="out"/>
        <c:minorTickMark val="none"/>
        <c:tickLblPos val="nextTo"/>
        <c:crossAx val="2128865776"/>
        <c:crosses val="autoZero"/>
        <c:auto val="1"/>
        <c:lblAlgn val="ctr"/>
        <c:lblOffset val="100"/>
        <c:noMultiLvlLbl val="0"/>
      </c:catAx>
      <c:valAx>
        <c:axId val="2128865776"/>
        <c:scaling>
          <c:orientation val="minMax"/>
        </c:scaling>
        <c:delete val="0"/>
        <c:axPos val="l"/>
        <c:majorGridlines>
          <c:spPr>
            <a:ln>
              <a:solidFill>
                <a:schemeClr val="bg1"/>
              </a:solidFill>
            </a:ln>
          </c:spPr>
        </c:majorGridlines>
        <c:numFmt formatCode="0.00%" sourceLinked="1"/>
        <c:majorTickMark val="out"/>
        <c:minorTickMark val="none"/>
        <c:tickLblPos val="nextTo"/>
        <c:crossAx val="2128868832"/>
        <c:crosses val="autoZero"/>
        <c:crossBetween val="between"/>
      </c:valAx>
    </c:plotArea>
    <c:legend>
      <c:legendPos val="r"/>
      <c:layout>
        <c:manualLayout>
          <c:xMode val="edge"/>
          <c:yMode val="edge"/>
          <c:x val="7.9306071871127704E-2"/>
          <c:y val="1.8125192203918901E-2"/>
          <c:w val="0.49919366956453898"/>
          <c:h val="0.34258535304596099"/>
        </c:manualLayout>
      </c:layout>
      <c:overlay val="0"/>
    </c:legend>
    <c:plotVisOnly val="1"/>
    <c:dispBlanksAs val="gap"/>
    <c:showDLblsOverMax val="0"/>
  </c:chart>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897335107993003E-2"/>
          <c:y val="5.1400554097404502E-2"/>
          <c:w val="0.89669291338582702"/>
          <c:h val="0.89719889180519097"/>
        </c:manualLayout>
      </c:layout>
      <c:lineChart>
        <c:grouping val="standard"/>
        <c:varyColors val="0"/>
        <c:ser>
          <c:idx val="0"/>
          <c:order val="0"/>
          <c:tx>
            <c:v>External Public Debt asjusted by RER/GDP</c:v>
          </c:tx>
          <c:marker>
            <c:symbol val="none"/>
          </c:marker>
          <c:cat>
            <c:numRef>
              <c:f>'Budget Constraint'!$A$16:$A$31</c:f>
              <c:numCache>
                <c:formatCode>General</c:formatCode>
                <c:ptCount val="1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numCache>
            </c:numRef>
          </c:cat>
          <c:val>
            <c:numRef>
              <c:f>'Budget Constraint'!$B$16:$B$31</c:f>
              <c:numCache>
                <c:formatCode>0.00%</c:formatCode>
                <c:ptCount val="16"/>
                <c:pt idx="0">
                  <c:v>-2.6689183398133864E-2</c:v>
                </c:pt>
                <c:pt idx="1">
                  <c:v>3.619896470587719E-3</c:v>
                </c:pt>
                <c:pt idx="2">
                  <c:v>6.0875459663085552E-2</c:v>
                </c:pt>
                <c:pt idx="3">
                  <c:v>-1.9181208895588553E-2</c:v>
                </c:pt>
                <c:pt idx="4">
                  <c:v>-1.3675393291406601E-3</c:v>
                </c:pt>
                <c:pt idx="5">
                  <c:v>-7.507655230655233E-2</c:v>
                </c:pt>
                <c:pt idx="6">
                  <c:v>-9.8177818565296504E-3</c:v>
                </c:pt>
                <c:pt idx="7">
                  <c:v>-1.8011027973340643E-2</c:v>
                </c:pt>
                <c:pt idx="8">
                  <c:v>2.8978886617607502E-2</c:v>
                </c:pt>
                <c:pt idx="9">
                  <c:v>2.4257990111203359E-2</c:v>
                </c:pt>
                <c:pt idx="10">
                  <c:v>0.11777635675727291</c:v>
                </c:pt>
                <c:pt idx="11">
                  <c:v>-4.6370649623670046E-2</c:v>
                </c:pt>
                <c:pt idx="12">
                  <c:v>3.9638645292269237E-2</c:v>
                </c:pt>
                <c:pt idx="13">
                  <c:v>-6.2158663729859315E-2</c:v>
                </c:pt>
                <c:pt idx="14">
                  <c:v>-2.6444724317009061E-3</c:v>
                </c:pt>
                <c:pt idx="15">
                  <c:v>0.32678831180953738</c:v>
                </c:pt>
              </c:numCache>
            </c:numRef>
          </c:val>
          <c:smooth val="0"/>
          <c:extLst>
            <c:ext xmlns:c16="http://schemas.microsoft.com/office/drawing/2014/chart" uri="{C3380CC4-5D6E-409C-BE32-E72D297353CC}">
              <c16:uniqueId val="{00000000-3CF7-412A-9DA4-5B944F654940}"/>
            </c:ext>
          </c:extLst>
        </c:ser>
        <c:ser>
          <c:idx val="1"/>
          <c:order val="1"/>
          <c:tx>
            <c:v>Seignorage (Right Axis)</c:v>
          </c:tx>
          <c:spPr>
            <a:ln>
              <a:solidFill>
                <a:schemeClr val="accent6">
                  <a:lumMod val="75000"/>
                </a:schemeClr>
              </a:solidFill>
            </a:ln>
          </c:spPr>
          <c:marker>
            <c:symbol val="none"/>
          </c:marker>
          <c:cat>
            <c:numRef>
              <c:f>'Budget Constraint'!$A$16:$A$31</c:f>
              <c:numCache>
                <c:formatCode>General</c:formatCode>
                <c:ptCount val="1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numCache>
            </c:numRef>
          </c:cat>
          <c:val>
            <c:numRef>
              <c:f>'Budget Constraint'!$D$16:$D$31</c:f>
              <c:numCache>
                <c:formatCode>0.000%</c:formatCode>
                <c:ptCount val="16"/>
                <c:pt idx="0">
                  <c:v>3.1694959776108568E-2</c:v>
                </c:pt>
                <c:pt idx="1">
                  <c:v>1.5874746496011925E-2</c:v>
                </c:pt>
                <c:pt idx="2">
                  <c:v>1.2388097985459453E-2</c:v>
                </c:pt>
                <c:pt idx="3">
                  <c:v>2.3361293333512764E-2</c:v>
                </c:pt>
                <c:pt idx="4">
                  <c:v>3.2556980949628236E-2</c:v>
                </c:pt>
                <c:pt idx="5">
                  <c:v>5.1088066754650122E-2</c:v>
                </c:pt>
                <c:pt idx="6">
                  <c:v>2.9551219734806088E-2</c:v>
                </c:pt>
                <c:pt idx="7">
                  <c:v>1.9694011254774515E-2</c:v>
                </c:pt>
                <c:pt idx="8">
                  <c:v>8.2048398921169309E-3</c:v>
                </c:pt>
                <c:pt idx="9">
                  <c:v>1.07503125681504E-2</c:v>
                </c:pt>
                <c:pt idx="10">
                  <c:v>3.1923658099887682E-2</c:v>
                </c:pt>
                <c:pt idx="11">
                  <c:v>2.6978993631846974E-2</c:v>
                </c:pt>
                <c:pt idx="12">
                  <c:v>2.5514610097380493E-2</c:v>
                </c:pt>
                <c:pt idx="13">
                  <c:v>3.3452563935403107E-2</c:v>
                </c:pt>
                <c:pt idx="14" formatCode="0%">
                  <c:v>2.189957420681448E-2</c:v>
                </c:pt>
                <c:pt idx="15" formatCode="0%">
                  <c:v>2.8147997829765674E-2</c:v>
                </c:pt>
              </c:numCache>
            </c:numRef>
          </c:val>
          <c:smooth val="0"/>
          <c:extLst>
            <c:ext xmlns:c16="http://schemas.microsoft.com/office/drawing/2014/chart" uri="{C3380CC4-5D6E-409C-BE32-E72D297353CC}">
              <c16:uniqueId val="{00000001-3CF7-412A-9DA4-5B944F654940}"/>
            </c:ext>
          </c:extLst>
        </c:ser>
        <c:ser>
          <c:idx val="2"/>
          <c:order val="2"/>
          <c:tx>
            <c:v>Monetary Base/GDP (Right Axis)</c:v>
          </c:tx>
          <c:marker>
            <c:symbol val="none"/>
          </c:marker>
          <c:cat>
            <c:numRef>
              <c:f>'Budget Constraint'!$A$16:$A$31</c:f>
              <c:numCache>
                <c:formatCode>General</c:formatCode>
                <c:ptCount val="1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numCache>
            </c:numRef>
          </c:cat>
          <c:val>
            <c:numRef>
              <c:f>'Budget Constraint'!$C$16:$C$31</c:f>
              <c:numCache>
                <c:formatCode>0%</c:formatCode>
                <c:ptCount val="16"/>
                <c:pt idx="0">
                  <c:v>-1.583034140684722E-2</c:v>
                </c:pt>
                <c:pt idx="1">
                  <c:v>9.2330296668436396E-3</c:v>
                </c:pt>
                <c:pt idx="2">
                  <c:v>6.2422654587475368E-3</c:v>
                </c:pt>
                <c:pt idx="3">
                  <c:v>8.1595063159942971E-3</c:v>
                </c:pt>
                <c:pt idx="4">
                  <c:v>1.1762029541630692E-2</c:v>
                </c:pt>
                <c:pt idx="5">
                  <c:v>-1.6429730334179521E-2</c:v>
                </c:pt>
                <c:pt idx="6">
                  <c:v>-4.3775656447219424E-3</c:v>
                </c:pt>
                <c:pt idx="7">
                  <c:v>-9.1012260023319996E-3</c:v>
                </c:pt>
                <c:pt idx="8">
                  <c:v>-7.9667982739301535E-3</c:v>
                </c:pt>
                <c:pt idx="9">
                  <c:v>1.54841810136264E-2</c:v>
                </c:pt>
                <c:pt idx="10">
                  <c:v>-6.1264056544320239E-3</c:v>
                </c:pt>
                <c:pt idx="11">
                  <c:v>-1.1420453533956806E-2</c:v>
                </c:pt>
                <c:pt idx="12">
                  <c:v>3.2290533242065184E-3</c:v>
                </c:pt>
                <c:pt idx="13">
                  <c:v>6.633658452361163E-4</c:v>
                </c:pt>
                <c:pt idx="14">
                  <c:v>-1.0351083663226207E-2</c:v>
                </c:pt>
                <c:pt idx="15">
                  <c:v>-1.0542688488984847E-2</c:v>
                </c:pt>
              </c:numCache>
            </c:numRef>
          </c:val>
          <c:smooth val="0"/>
          <c:extLst>
            <c:ext xmlns:c16="http://schemas.microsoft.com/office/drawing/2014/chart" uri="{C3380CC4-5D6E-409C-BE32-E72D297353CC}">
              <c16:uniqueId val="{00000002-3CF7-412A-9DA4-5B944F654940}"/>
            </c:ext>
          </c:extLst>
        </c:ser>
        <c:dLbls>
          <c:showLegendKey val="0"/>
          <c:showVal val="0"/>
          <c:showCatName val="0"/>
          <c:showSerName val="0"/>
          <c:showPercent val="0"/>
          <c:showBubbleSize val="0"/>
        </c:dLbls>
        <c:smooth val="0"/>
        <c:axId val="2127962832"/>
        <c:axId val="2127959760"/>
      </c:lineChart>
      <c:catAx>
        <c:axId val="2127962832"/>
        <c:scaling>
          <c:orientation val="minMax"/>
        </c:scaling>
        <c:delete val="0"/>
        <c:axPos val="b"/>
        <c:numFmt formatCode="General" sourceLinked="1"/>
        <c:majorTickMark val="out"/>
        <c:minorTickMark val="none"/>
        <c:tickLblPos val="nextTo"/>
        <c:crossAx val="2127959760"/>
        <c:crosses val="autoZero"/>
        <c:auto val="1"/>
        <c:lblAlgn val="ctr"/>
        <c:lblOffset val="100"/>
        <c:noMultiLvlLbl val="0"/>
      </c:catAx>
      <c:valAx>
        <c:axId val="2127959760"/>
        <c:scaling>
          <c:orientation val="minMax"/>
        </c:scaling>
        <c:delete val="0"/>
        <c:axPos val="l"/>
        <c:majorGridlines>
          <c:spPr>
            <a:ln>
              <a:solidFill>
                <a:schemeClr val="bg1"/>
              </a:solidFill>
            </a:ln>
          </c:spPr>
        </c:majorGridlines>
        <c:numFmt formatCode="0.00%" sourceLinked="1"/>
        <c:majorTickMark val="out"/>
        <c:minorTickMark val="none"/>
        <c:tickLblPos val="nextTo"/>
        <c:crossAx val="2127962832"/>
        <c:crosses val="autoZero"/>
        <c:crossBetween val="between"/>
      </c:valAx>
    </c:plotArea>
    <c:legend>
      <c:legendPos val="r"/>
      <c:layout>
        <c:manualLayout>
          <c:xMode val="edge"/>
          <c:yMode val="edge"/>
          <c:x val="9.0184577286058099E-3"/>
          <c:y val="3.19421966321142E-2"/>
          <c:w val="0.675153944707928"/>
          <c:h val="0.17678218373099699"/>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063046706399496E-2"/>
          <c:y val="5.0925973973286402E-2"/>
          <c:w val="0.91570105818538206"/>
          <c:h val="0.74734324876057201"/>
        </c:manualLayout>
      </c:layout>
      <c:barChart>
        <c:barDir val="col"/>
        <c:grouping val="clustered"/>
        <c:varyColors val="0"/>
        <c:ser>
          <c:idx val="1"/>
          <c:order val="0"/>
          <c:tx>
            <c:v>Total Deficit</c:v>
          </c:tx>
          <c:spPr>
            <a:solidFill>
              <a:schemeClr val="tx1"/>
            </a:solidFill>
          </c:spPr>
          <c:invertIfNegative val="0"/>
          <c:cat>
            <c:numRef>
              <c:f>Deficit!$B$7:$B$60</c:f>
              <c:numCache>
                <c:formatCode>General</c:formatCode>
                <c:ptCount val="54"/>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numCache>
            </c:numRef>
          </c:cat>
          <c:val>
            <c:numRef>
              <c:f>Deficit!$O$7:$O$60</c:f>
              <c:numCache>
                <c:formatCode>0.0%</c:formatCode>
                <c:ptCount val="54"/>
                <c:pt idx="0">
                  <c:v>3.6131389280240752E-3</c:v>
                </c:pt>
                <c:pt idx="1">
                  <c:v>9.8735188975582304E-3</c:v>
                </c:pt>
                <c:pt idx="2">
                  <c:v>7.833764008432352E-3</c:v>
                </c:pt>
                <c:pt idx="3">
                  <c:v>3.6496103459517538E-4</c:v>
                </c:pt>
                <c:pt idx="4">
                  <c:v>1.598592074599544E-2</c:v>
                </c:pt>
                <c:pt idx="5">
                  <c:v>4.6463442237513655E-2</c:v>
                </c:pt>
                <c:pt idx="6">
                  <c:v>3.4483804746657534E-2</c:v>
                </c:pt>
                <c:pt idx="7">
                  <c:v>1.4884562474178104E-2</c:v>
                </c:pt>
                <c:pt idx="8">
                  <c:v>9.2488782231589673E-3</c:v>
                </c:pt>
                <c:pt idx="9">
                  <c:v>2.0753203970370698E-2</c:v>
                </c:pt>
                <c:pt idx="10">
                  <c:v>3.2757121501925578E-2</c:v>
                </c:pt>
                <c:pt idx="11">
                  <c:v>1.436118607515152E-2</c:v>
                </c:pt>
                <c:pt idx="12">
                  <c:v>3.1484864690664921E-3</c:v>
                </c:pt>
                <c:pt idx="13">
                  <c:v>4.5265865912841666E-2</c:v>
                </c:pt>
                <c:pt idx="14">
                  <c:v>3.4036705185693517E-3</c:v>
                </c:pt>
                <c:pt idx="15">
                  <c:v>2.7141826157432666E-3</c:v>
                </c:pt>
                <c:pt idx="16">
                  <c:v>-3.1522096117258358E-3</c:v>
                </c:pt>
                <c:pt idx="17">
                  <c:v>-1.6188823856589221E-2</c:v>
                </c:pt>
                <c:pt idx="18">
                  <c:v>-3.9105873964193471E-3</c:v>
                </c:pt>
                <c:pt idx="19">
                  <c:v>2.9987257343570429E-2</c:v>
                </c:pt>
                <c:pt idx="20">
                  <c:v>1.1159826291363382E-2</c:v>
                </c:pt>
                <c:pt idx="21">
                  <c:v>5.2643284437978277E-2</c:v>
                </c:pt>
                <c:pt idx="22">
                  <c:v>7.9750207562674771E-2</c:v>
                </c:pt>
                <c:pt idx="23">
                  <c:v>4.7965811282529275E-2</c:v>
                </c:pt>
                <c:pt idx="24">
                  <c:v>3.1219422971784122E-2</c:v>
                </c:pt>
                <c:pt idx="25">
                  <c:v>1.1496706780571467E-2</c:v>
                </c:pt>
                <c:pt idx="26">
                  <c:v>2.2936929130865535E-2</c:v>
                </c:pt>
                <c:pt idx="27">
                  <c:v>4.035281154167002E-3</c:v>
                </c:pt>
                <c:pt idx="28">
                  <c:v>-5.151015390596235E-2</c:v>
                </c:pt>
                <c:pt idx="29">
                  <c:v>-1.8305075787229504E-2</c:v>
                </c:pt>
                <c:pt idx="30">
                  <c:v>-1.932245543446399E-3</c:v>
                </c:pt>
                <c:pt idx="31">
                  <c:v>-1.5769576859947898E-2</c:v>
                </c:pt>
                <c:pt idx="32">
                  <c:v>-2.8638307173549669E-2</c:v>
                </c:pt>
                <c:pt idx="33">
                  <c:v>-1.0881186050815981E-2</c:v>
                </c:pt>
                <c:pt idx="34">
                  <c:v>-9.5165306882831497E-3</c:v>
                </c:pt>
                <c:pt idx="35">
                  <c:v>8.2047687506990336E-3</c:v>
                </c:pt>
                <c:pt idx="36">
                  <c:v>-1.623705056788332E-2</c:v>
                </c:pt>
                <c:pt idx="37">
                  <c:v>2.9767768409876855E-2</c:v>
                </c:pt>
                <c:pt idx="38">
                  <c:v>2.9896557785467636E-2</c:v>
                </c:pt>
                <c:pt idx="39">
                  <c:v>-9.1643245338288697E-3</c:v>
                </c:pt>
                <c:pt idx="40">
                  <c:v>2.2325506519128763E-2</c:v>
                </c:pt>
                <c:pt idx="41">
                  <c:v>-9.2490258624493647E-3</c:v>
                </c:pt>
                <c:pt idx="42">
                  <c:v>-2.0033953434266102E-2</c:v>
                </c:pt>
                <c:pt idx="43">
                  <c:v>-1.30370362521035E-2</c:v>
                </c:pt>
                <c:pt idx="44">
                  <c:v>-1.9905876196580151E-2</c:v>
                </c:pt>
                <c:pt idx="45">
                  <c:v>-1.7102052341623791E-2</c:v>
                </c:pt>
                <c:pt idx="46">
                  <c:v>-2.9073278303367717E-2</c:v>
                </c:pt>
                <c:pt idx="47">
                  <c:v>4.7033269491675717E-3</c:v>
                </c:pt>
                <c:pt idx="48">
                  <c:v>-7.7458250747716615E-3</c:v>
                </c:pt>
                <c:pt idx="49">
                  <c:v>-1.2932474096764748E-2</c:v>
                </c:pt>
                <c:pt idx="50">
                  <c:v>1.5984753187422075E-2</c:v>
                </c:pt>
                <c:pt idx="51">
                  <c:v>1.9147828182758442E-2</c:v>
                </c:pt>
                <c:pt idx="52">
                  <c:v>1.4762325994649831E-2</c:v>
                </c:pt>
                <c:pt idx="53">
                  <c:v>6.9075820385094931E-3</c:v>
                </c:pt>
              </c:numCache>
            </c:numRef>
          </c:val>
          <c:extLst>
            <c:ext xmlns:c16="http://schemas.microsoft.com/office/drawing/2014/chart" uri="{C3380CC4-5D6E-409C-BE32-E72D297353CC}">
              <c16:uniqueId val="{00000001-2027-4673-BDC2-6A131813A022}"/>
            </c:ext>
          </c:extLst>
        </c:ser>
        <c:dLbls>
          <c:showLegendKey val="0"/>
          <c:showVal val="0"/>
          <c:showCatName val="0"/>
          <c:showSerName val="0"/>
          <c:showPercent val="0"/>
          <c:showBubbleSize val="0"/>
        </c:dLbls>
        <c:gapWidth val="150"/>
        <c:axId val="2126738720"/>
        <c:axId val="2126732368"/>
      </c:barChart>
      <c:catAx>
        <c:axId val="2126738720"/>
        <c:scaling>
          <c:orientation val="minMax"/>
        </c:scaling>
        <c:delete val="0"/>
        <c:axPos val="b"/>
        <c:numFmt formatCode="General" sourceLinked="1"/>
        <c:majorTickMark val="out"/>
        <c:minorTickMark val="none"/>
        <c:tickLblPos val="low"/>
        <c:txPr>
          <a:bodyPr rot="-5400000" vert="horz"/>
          <a:lstStyle/>
          <a:p>
            <a:pPr>
              <a:defRPr sz="900"/>
            </a:pPr>
            <a:endParaRPr lang="en-US"/>
          </a:p>
        </c:txPr>
        <c:crossAx val="2126732368"/>
        <c:crosses val="autoZero"/>
        <c:auto val="1"/>
        <c:lblAlgn val="ctr"/>
        <c:lblOffset val="100"/>
        <c:tickLblSkip val="1"/>
        <c:noMultiLvlLbl val="0"/>
      </c:catAx>
      <c:valAx>
        <c:axId val="2126732368"/>
        <c:scaling>
          <c:orientation val="minMax"/>
        </c:scaling>
        <c:delete val="0"/>
        <c:axPos val="l"/>
        <c:title>
          <c:tx>
            <c:rich>
              <a:bodyPr/>
              <a:lstStyle/>
              <a:p>
                <a:pPr>
                  <a:defRPr sz="900"/>
                </a:pPr>
                <a:r>
                  <a:rPr lang="es-AR" sz="900"/>
                  <a:t>Percent of GDP</a:t>
                </a:r>
              </a:p>
            </c:rich>
          </c:tx>
          <c:overlay val="0"/>
        </c:title>
        <c:numFmt formatCode="0%" sourceLinked="0"/>
        <c:majorTickMark val="out"/>
        <c:minorTickMark val="none"/>
        <c:tickLblPos val="nextTo"/>
        <c:crossAx val="2126738720"/>
        <c:crosses val="autoZero"/>
        <c:crossBetween val="between"/>
      </c:valAx>
    </c:plotArea>
    <c:plotVisOnly val="1"/>
    <c:dispBlanksAs val="gap"/>
    <c:showDLblsOverMax val="0"/>
  </c:chart>
  <c:spPr>
    <a:ln>
      <a:noFill/>
    </a:ln>
  </c:spPr>
  <c:txPr>
    <a:bodyPr/>
    <a:lstStyle/>
    <a:p>
      <a:pPr>
        <a:defRPr sz="1000">
          <a:latin typeface="LM Roman 10" panose="00000500000000000000" pitchFamily="50" charset="0"/>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897335107993003E-2"/>
          <c:y val="5.1400554097404502E-2"/>
          <c:w val="0.83721345258382995"/>
          <c:h val="0.89719889180519097"/>
        </c:manualLayout>
      </c:layout>
      <c:lineChart>
        <c:grouping val="standard"/>
        <c:varyColors val="0"/>
        <c:ser>
          <c:idx val="0"/>
          <c:order val="0"/>
          <c:tx>
            <c:v>External Public Debt asjusted by RER/GDP</c:v>
          </c:tx>
          <c:marker>
            <c:symbol val="none"/>
          </c:marker>
          <c:cat>
            <c:numRef>
              <c:f>'Budget Constraint'!$A$4:$A$15</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'Budget Constraint'!$B$4:$B$15</c:f>
              <c:numCache>
                <c:formatCode>0.00%</c:formatCode>
                <c:ptCount val="12"/>
                <c:pt idx="0">
                  <c:v>-3.2507398180374458E-3</c:v>
                </c:pt>
                <c:pt idx="1">
                  <c:v>-4.2398145169607465E-3</c:v>
                </c:pt>
                <c:pt idx="2">
                  <c:v>3.3328193246151411E-3</c:v>
                </c:pt>
                <c:pt idx="3">
                  <c:v>1.1634015183941568E-2</c:v>
                </c:pt>
                <c:pt idx="4">
                  <c:v>2.0660812411326945E-2</c:v>
                </c:pt>
                <c:pt idx="5">
                  <c:v>4.3893401200626125E-2</c:v>
                </c:pt>
                <c:pt idx="6">
                  <c:v>3.1531179727712466E-2</c:v>
                </c:pt>
                <c:pt idx="7">
                  <c:v>3.1789324234595406E-2</c:v>
                </c:pt>
                <c:pt idx="8">
                  <c:v>2.7907820631068614E-2</c:v>
                </c:pt>
                <c:pt idx="9">
                  <c:v>1.3342664871368592E-3</c:v>
                </c:pt>
                <c:pt idx="10">
                  <c:v>-1.6007520537650838E-2</c:v>
                </c:pt>
                <c:pt idx="11">
                  <c:v>-2.913930763329653E-2</c:v>
                </c:pt>
              </c:numCache>
            </c:numRef>
          </c:val>
          <c:smooth val="0"/>
          <c:extLst>
            <c:ext xmlns:c16="http://schemas.microsoft.com/office/drawing/2014/chart" uri="{C3380CC4-5D6E-409C-BE32-E72D297353CC}">
              <c16:uniqueId val="{00000000-D35B-4798-BC49-D3D770A3BFDE}"/>
            </c:ext>
          </c:extLst>
        </c:ser>
        <c:dLbls>
          <c:showLegendKey val="0"/>
          <c:showVal val="0"/>
          <c:showCatName val="0"/>
          <c:showSerName val="0"/>
          <c:showPercent val="0"/>
          <c:showBubbleSize val="0"/>
        </c:dLbls>
        <c:marker val="1"/>
        <c:smooth val="0"/>
        <c:axId val="2128823904"/>
        <c:axId val="2128820576"/>
      </c:lineChart>
      <c:lineChart>
        <c:grouping val="standard"/>
        <c:varyColors val="0"/>
        <c:ser>
          <c:idx val="1"/>
          <c:order val="1"/>
          <c:tx>
            <c:v>Seignorage (Right Axis)</c:v>
          </c:tx>
          <c:spPr>
            <a:ln>
              <a:solidFill>
                <a:schemeClr val="accent6">
                  <a:lumMod val="75000"/>
                </a:schemeClr>
              </a:solidFill>
            </a:ln>
          </c:spPr>
          <c:marker>
            <c:symbol val="none"/>
          </c:marker>
          <c:cat>
            <c:numRef>
              <c:f>'Budget Constraint'!$A$4:$A$15</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'Budget Constraint'!$D$4:$D$15</c:f>
              <c:numCache>
                <c:formatCode>0.000%</c:formatCode>
                <c:ptCount val="12"/>
                <c:pt idx="0">
                  <c:v>3.870596315010924E-3</c:v>
                </c:pt>
                <c:pt idx="1">
                  <c:v>4.2910526026393109E-3</c:v>
                </c:pt>
                <c:pt idx="2">
                  <c:v>7.1143177875160404E-3</c:v>
                </c:pt>
                <c:pt idx="3">
                  <c:v>8.8493676752784949E-3</c:v>
                </c:pt>
                <c:pt idx="4">
                  <c:v>3.2351657460736754E-3</c:v>
                </c:pt>
                <c:pt idx="5">
                  <c:v>8.7670254488262708E-3</c:v>
                </c:pt>
                <c:pt idx="6">
                  <c:v>6.9501727944649636E-3</c:v>
                </c:pt>
                <c:pt idx="7">
                  <c:v>4.5587874943887382E-3</c:v>
                </c:pt>
                <c:pt idx="8">
                  <c:v>7.6404901472605048E-3</c:v>
                </c:pt>
                <c:pt idx="9">
                  <c:v>1.2871769898893996E-2</c:v>
                </c:pt>
                <c:pt idx="10">
                  <c:v>1.7080909762012476E-2</c:v>
                </c:pt>
                <c:pt idx="11">
                  <c:v>2.4089246542964109E-2</c:v>
                </c:pt>
              </c:numCache>
            </c:numRef>
          </c:val>
          <c:smooth val="0"/>
          <c:extLst>
            <c:ext xmlns:c16="http://schemas.microsoft.com/office/drawing/2014/chart" uri="{C3380CC4-5D6E-409C-BE32-E72D297353CC}">
              <c16:uniqueId val="{00000001-D35B-4798-BC49-D3D770A3BFDE}"/>
            </c:ext>
          </c:extLst>
        </c:ser>
        <c:ser>
          <c:idx val="2"/>
          <c:order val="2"/>
          <c:tx>
            <c:v>Monetary Base/GDP (Right Axis)</c:v>
          </c:tx>
          <c:marker>
            <c:symbol val="none"/>
          </c:marker>
          <c:cat>
            <c:numRef>
              <c:f>'Budget Constraint'!$A$4:$A$15</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'Budget Constraint'!$C$4:$C$15</c:f>
              <c:numCache>
                <c:formatCode>0%</c:formatCode>
                <c:ptCount val="12"/>
                <c:pt idx="0">
                  <c:v>-4.1620856553350322E-3</c:v>
                </c:pt>
                <c:pt idx="1">
                  <c:v>1.0408721237318772E-2</c:v>
                </c:pt>
                <c:pt idx="2">
                  <c:v>1.2258669631175181E-2</c:v>
                </c:pt>
                <c:pt idx="3">
                  <c:v>5.6339370638831543E-3</c:v>
                </c:pt>
                <c:pt idx="4">
                  <c:v>-1.5464032586697263E-3</c:v>
                </c:pt>
                <c:pt idx="5">
                  <c:v>3.1272115559478342E-3</c:v>
                </c:pt>
                <c:pt idx="6">
                  <c:v>6.0283559832402384E-3</c:v>
                </c:pt>
                <c:pt idx="7">
                  <c:v>-3.8711649803380571E-3</c:v>
                </c:pt>
                <c:pt idx="8">
                  <c:v>1.4818975768688347E-2</c:v>
                </c:pt>
                <c:pt idx="9">
                  <c:v>3.9535807323587413E-4</c:v>
                </c:pt>
                <c:pt idx="10">
                  <c:v>1.2211151225587316E-2</c:v>
                </c:pt>
                <c:pt idx="11">
                  <c:v>-1.1559127513697531E-3</c:v>
                </c:pt>
              </c:numCache>
            </c:numRef>
          </c:val>
          <c:smooth val="0"/>
          <c:extLst>
            <c:ext xmlns:c16="http://schemas.microsoft.com/office/drawing/2014/chart" uri="{C3380CC4-5D6E-409C-BE32-E72D297353CC}">
              <c16:uniqueId val="{00000002-D35B-4798-BC49-D3D770A3BFDE}"/>
            </c:ext>
          </c:extLst>
        </c:ser>
        <c:dLbls>
          <c:showLegendKey val="0"/>
          <c:showVal val="0"/>
          <c:showCatName val="0"/>
          <c:showSerName val="0"/>
          <c:showPercent val="0"/>
          <c:showBubbleSize val="0"/>
        </c:dLbls>
        <c:marker val="1"/>
        <c:smooth val="0"/>
        <c:axId val="2127930128"/>
        <c:axId val="2127932672"/>
      </c:lineChart>
      <c:catAx>
        <c:axId val="2128823904"/>
        <c:scaling>
          <c:orientation val="minMax"/>
        </c:scaling>
        <c:delete val="0"/>
        <c:axPos val="b"/>
        <c:numFmt formatCode="General" sourceLinked="1"/>
        <c:majorTickMark val="out"/>
        <c:minorTickMark val="none"/>
        <c:tickLblPos val="nextTo"/>
        <c:crossAx val="2128820576"/>
        <c:crosses val="autoZero"/>
        <c:auto val="1"/>
        <c:lblAlgn val="ctr"/>
        <c:lblOffset val="100"/>
        <c:noMultiLvlLbl val="0"/>
      </c:catAx>
      <c:valAx>
        <c:axId val="2128820576"/>
        <c:scaling>
          <c:orientation val="minMax"/>
        </c:scaling>
        <c:delete val="0"/>
        <c:axPos val="l"/>
        <c:majorGridlines>
          <c:spPr>
            <a:ln>
              <a:solidFill>
                <a:schemeClr val="bg1"/>
              </a:solidFill>
            </a:ln>
          </c:spPr>
        </c:majorGridlines>
        <c:numFmt formatCode="0.00%" sourceLinked="1"/>
        <c:majorTickMark val="out"/>
        <c:minorTickMark val="none"/>
        <c:tickLblPos val="nextTo"/>
        <c:crossAx val="2128823904"/>
        <c:crosses val="autoZero"/>
        <c:crossBetween val="between"/>
      </c:valAx>
      <c:valAx>
        <c:axId val="2127932672"/>
        <c:scaling>
          <c:orientation val="minMax"/>
        </c:scaling>
        <c:delete val="0"/>
        <c:axPos val="r"/>
        <c:numFmt formatCode="0.000%" sourceLinked="1"/>
        <c:majorTickMark val="out"/>
        <c:minorTickMark val="none"/>
        <c:tickLblPos val="nextTo"/>
        <c:crossAx val="2127930128"/>
        <c:crosses val="max"/>
        <c:crossBetween val="between"/>
      </c:valAx>
      <c:catAx>
        <c:axId val="2127930128"/>
        <c:scaling>
          <c:orientation val="minMax"/>
        </c:scaling>
        <c:delete val="1"/>
        <c:axPos val="b"/>
        <c:numFmt formatCode="General" sourceLinked="1"/>
        <c:majorTickMark val="out"/>
        <c:minorTickMark val="none"/>
        <c:tickLblPos val="nextTo"/>
        <c:crossAx val="2127932672"/>
        <c:crosses val="autoZero"/>
        <c:auto val="1"/>
        <c:lblAlgn val="ctr"/>
        <c:lblOffset val="100"/>
        <c:noMultiLvlLbl val="0"/>
      </c:catAx>
    </c:plotArea>
    <c:legend>
      <c:legendPos val="r"/>
      <c:layout>
        <c:manualLayout>
          <c:xMode val="edge"/>
          <c:yMode val="edge"/>
          <c:x val="9.0184577286058099E-3"/>
          <c:y val="3.19421966321142E-2"/>
          <c:w val="0.675153944707928"/>
          <c:h val="0.17678218373099699"/>
        </c:manualLayout>
      </c:layout>
      <c:overlay val="0"/>
    </c:legend>
    <c:plotVisOnly val="1"/>
    <c:dispBlanksAs val="gap"/>
    <c:showDLblsOverMax val="0"/>
  </c:chart>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897335107993003E-2"/>
          <c:y val="5.1400554097404502E-2"/>
          <c:w val="0.83721345258382995"/>
          <c:h val="0.89719889180519097"/>
        </c:manualLayout>
      </c:layout>
      <c:lineChart>
        <c:grouping val="standard"/>
        <c:varyColors val="0"/>
        <c:ser>
          <c:idx val="0"/>
          <c:order val="0"/>
          <c:tx>
            <c:v>External Public Debt asjusted by RER/GDP</c:v>
          </c:tx>
          <c:marker>
            <c:symbol val="none"/>
          </c:marker>
          <c:cat>
            <c:numRef>
              <c:f>'Budget Constraint'!$A$4:$A$15</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'Budget Constraint'!$B$4:$B$15</c:f>
              <c:numCache>
                <c:formatCode>0.00%</c:formatCode>
                <c:ptCount val="12"/>
                <c:pt idx="0">
                  <c:v>-3.2507398180374458E-3</c:v>
                </c:pt>
                <c:pt idx="1">
                  <c:v>-4.2398145169607465E-3</c:v>
                </c:pt>
                <c:pt idx="2">
                  <c:v>3.3328193246151411E-3</c:v>
                </c:pt>
                <c:pt idx="3">
                  <c:v>1.1634015183941568E-2</c:v>
                </c:pt>
                <c:pt idx="4">
                  <c:v>2.0660812411326945E-2</c:v>
                </c:pt>
                <c:pt idx="5">
                  <c:v>4.3893401200626125E-2</c:v>
                </c:pt>
                <c:pt idx="6">
                  <c:v>3.1531179727712466E-2</c:v>
                </c:pt>
                <c:pt idx="7">
                  <c:v>3.1789324234595406E-2</c:v>
                </c:pt>
                <c:pt idx="8">
                  <c:v>2.7907820631068614E-2</c:v>
                </c:pt>
                <c:pt idx="9">
                  <c:v>1.3342664871368592E-3</c:v>
                </c:pt>
                <c:pt idx="10">
                  <c:v>-1.6007520537650838E-2</c:v>
                </c:pt>
                <c:pt idx="11">
                  <c:v>-2.913930763329653E-2</c:v>
                </c:pt>
              </c:numCache>
            </c:numRef>
          </c:val>
          <c:smooth val="0"/>
          <c:extLst>
            <c:ext xmlns:c16="http://schemas.microsoft.com/office/drawing/2014/chart" uri="{C3380CC4-5D6E-409C-BE32-E72D297353CC}">
              <c16:uniqueId val="{00000000-D2F1-430C-9EC1-86A74978A3B4}"/>
            </c:ext>
          </c:extLst>
        </c:ser>
        <c:dLbls>
          <c:showLegendKey val="0"/>
          <c:showVal val="0"/>
          <c:showCatName val="0"/>
          <c:showSerName val="0"/>
          <c:showPercent val="0"/>
          <c:showBubbleSize val="0"/>
        </c:dLbls>
        <c:marker val="1"/>
        <c:smooth val="0"/>
        <c:axId val="2128790384"/>
        <c:axId val="2128787216"/>
      </c:lineChart>
      <c:lineChart>
        <c:grouping val="standard"/>
        <c:varyColors val="0"/>
        <c:ser>
          <c:idx val="1"/>
          <c:order val="1"/>
          <c:tx>
            <c:v>Seignorage (Right Axis)</c:v>
          </c:tx>
          <c:spPr>
            <a:ln>
              <a:solidFill>
                <a:schemeClr val="accent6">
                  <a:lumMod val="75000"/>
                </a:schemeClr>
              </a:solidFill>
            </a:ln>
          </c:spPr>
          <c:marker>
            <c:symbol val="none"/>
          </c:marker>
          <c:cat>
            <c:numRef>
              <c:f>'Budget Constraint'!$A$4:$A$15</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'Budget Constraint'!$D$4:$D$15</c:f>
              <c:numCache>
                <c:formatCode>0.000%</c:formatCode>
                <c:ptCount val="12"/>
                <c:pt idx="0">
                  <c:v>3.870596315010924E-3</c:v>
                </c:pt>
                <c:pt idx="1">
                  <c:v>4.2910526026393109E-3</c:v>
                </c:pt>
                <c:pt idx="2">
                  <c:v>7.1143177875160404E-3</c:v>
                </c:pt>
                <c:pt idx="3">
                  <c:v>8.8493676752784949E-3</c:v>
                </c:pt>
                <c:pt idx="4">
                  <c:v>3.2351657460736754E-3</c:v>
                </c:pt>
                <c:pt idx="5">
                  <c:v>8.7670254488262708E-3</c:v>
                </c:pt>
                <c:pt idx="6">
                  <c:v>6.9501727944649636E-3</c:v>
                </c:pt>
                <c:pt idx="7">
                  <c:v>4.5587874943887382E-3</c:v>
                </c:pt>
                <c:pt idx="8">
                  <c:v>7.6404901472605048E-3</c:v>
                </c:pt>
                <c:pt idx="9">
                  <c:v>1.2871769898893996E-2</c:v>
                </c:pt>
                <c:pt idx="10">
                  <c:v>1.7080909762012476E-2</c:v>
                </c:pt>
                <c:pt idx="11">
                  <c:v>2.4089246542964109E-2</c:v>
                </c:pt>
              </c:numCache>
            </c:numRef>
          </c:val>
          <c:smooth val="0"/>
          <c:extLst>
            <c:ext xmlns:c16="http://schemas.microsoft.com/office/drawing/2014/chart" uri="{C3380CC4-5D6E-409C-BE32-E72D297353CC}">
              <c16:uniqueId val="{00000001-D2F1-430C-9EC1-86A74978A3B4}"/>
            </c:ext>
          </c:extLst>
        </c:ser>
        <c:ser>
          <c:idx val="2"/>
          <c:order val="2"/>
          <c:tx>
            <c:v>Monetary Base/GDP (Right Axis)</c:v>
          </c:tx>
          <c:marker>
            <c:symbol val="none"/>
          </c:marker>
          <c:cat>
            <c:numRef>
              <c:f>'Budget Constraint'!$A$4:$A$15</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'Budget Constraint'!$C$4:$C$15</c:f>
              <c:numCache>
                <c:formatCode>0%</c:formatCode>
                <c:ptCount val="12"/>
                <c:pt idx="0">
                  <c:v>-4.1620856553350322E-3</c:v>
                </c:pt>
                <c:pt idx="1">
                  <c:v>1.0408721237318772E-2</c:v>
                </c:pt>
                <c:pt idx="2">
                  <c:v>1.2258669631175181E-2</c:v>
                </c:pt>
                <c:pt idx="3">
                  <c:v>5.6339370638831543E-3</c:v>
                </c:pt>
                <c:pt idx="4">
                  <c:v>-1.5464032586697263E-3</c:v>
                </c:pt>
                <c:pt idx="5">
                  <c:v>3.1272115559478342E-3</c:v>
                </c:pt>
                <c:pt idx="6">
                  <c:v>6.0283559832402384E-3</c:v>
                </c:pt>
                <c:pt idx="7">
                  <c:v>-3.8711649803380571E-3</c:v>
                </c:pt>
                <c:pt idx="8">
                  <c:v>1.4818975768688347E-2</c:v>
                </c:pt>
                <c:pt idx="9">
                  <c:v>3.9535807323587413E-4</c:v>
                </c:pt>
                <c:pt idx="10">
                  <c:v>1.2211151225587316E-2</c:v>
                </c:pt>
                <c:pt idx="11">
                  <c:v>-1.1559127513697531E-3</c:v>
                </c:pt>
              </c:numCache>
            </c:numRef>
          </c:val>
          <c:smooth val="0"/>
          <c:extLst>
            <c:ext xmlns:c16="http://schemas.microsoft.com/office/drawing/2014/chart" uri="{C3380CC4-5D6E-409C-BE32-E72D297353CC}">
              <c16:uniqueId val="{00000002-D2F1-430C-9EC1-86A74978A3B4}"/>
            </c:ext>
          </c:extLst>
        </c:ser>
        <c:dLbls>
          <c:showLegendKey val="0"/>
          <c:showVal val="0"/>
          <c:showCatName val="0"/>
          <c:showSerName val="0"/>
          <c:showPercent val="0"/>
          <c:showBubbleSize val="0"/>
        </c:dLbls>
        <c:marker val="1"/>
        <c:smooth val="0"/>
        <c:axId val="2127915248"/>
        <c:axId val="2127917968"/>
      </c:lineChart>
      <c:catAx>
        <c:axId val="2128790384"/>
        <c:scaling>
          <c:orientation val="minMax"/>
        </c:scaling>
        <c:delete val="0"/>
        <c:axPos val="b"/>
        <c:numFmt formatCode="General" sourceLinked="1"/>
        <c:majorTickMark val="out"/>
        <c:minorTickMark val="none"/>
        <c:tickLblPos val="nextTo"/>
        <c:crossAx val="2128787216"/>
        <c:crosses val="autoZero"/>
        <c:auto val="1"/>
        <c:lblAlgn val="ctr"/>
        <c:lblOffset val="100"/>
        <c:noMultiLvlLbl val="0"/>
      </c:catAx>
      <c:valAx>
        <c:axId val="2128787216"/>
        <c:scaling>
          <c:orientation val="minMax"/>
        </c:scaling>
        <c:delete val="0"/>
        <c:axPos val="l"/>
        <c:majorGridlines>
          <c:spPr>
            <a:ln>
              <a:solidFill>
                <a:schemeClr val="bg1"/>
              </a:solidFill>
            </a:ln>
          </c:spPr>
        </c:majorGridlines>
        <c:numFmt formatCode="0.00%" sourceLinked="1"/>
        <c:majorTickMark val="out"/>
        <c:minorTickMark val="none"/>
        <c:tickLblPos val="nextTo"/>
        <c:crossAx val="2128790384"/>
        <c:crosses val="autoZero"/>
        <c:crossBetween val="between"/>
      </c:valAx>
      <c:valAx>
        <c:axId val="2127917968"/>
        <c:scaling>
          <c:orientation val="minMax"/>
        </c:scaling>
        <c:delete val="0"/>
        <c:axPos val="r"/>
        <c:numFmt formatCode="0.000%" sourceLinked="1"/>
        <c:majorTickMark val="out"/>
        <c:minorTickMark val="none"/>
        <c:tickLblPos val="nextTo"/>
        <c:crossAx val="2127915248"/>
        <c:crosses val="max"/>
        <c:crossBetween val="between"/>
      </c:valAx>
      <c:catAx>
        <c:axId val="2127915248"/>
        <c:scaling>
          <c:orientation val="minMax"/>
        </c:scaling>
        <c:delete val="1"/>
        <c:axPos val="b"/>
        <c:numFmt formatCode="General" sourceLinked="1"/>
        <c:majorTickMark val="out"/>
        <c:minorTickMark val="none"/>
        <c:tickLblPos val="nextTo"/>
        <c:crossAx val="2127917968"/>
        <c:crosses val="autoZero"/>
        <c:auto val="1"/>
        <c:lblAlgn val="ctr"/>
        <c:lblOffset val="100"/>
        <c:noMultiLvlLbl val="0"/>
      </c:catAx>
    </c:plotArea>
    <c:legend>
      <c:legendPos val="r"/>
      <c:layout>
        <c:manualLayout>
          <c:xMode val="edge"/>
          <c:yMode val="edge"/>
          <c:x val="9.0184577286058099E-3"/>
          <c:y val="3.19421966321142E-2"/>
          <c:w val="0.675153944707928"/>
          <c:h val="0.17678218373099699"/>
        </c:manualLayout>
      </c:layout>
      <c:overlay val="0"/>
    </c:legend>
    <c:plotVisOnly val="1"/>
    <c:dispBlanksAs val="gap"/>
    <c:showDLblsOverMax val="0"/>
  </c:chart>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val>
            <c:numRef>
              <c:f>'Budget Constraint'!$C$15:$C$30</c:f>
              <c:numCache>
                <c:formatCode>0%</c:formatCode>
                <c:ptCount val="16"/>
                <c:pt idx="0">
                  <c:v>-1.1559127513697531E-3</c:v>
                </c:pt>
                <c:pt idx="1">
                  <c:v>-1.583034140684722E-2</c:v>
                </c:pt>
                <c:pt idx="2">
                  <c:v>9.2330296668436396E-3</c:v>
                </c:pt>
                <c:pt idx="3">
                  <c:v>6.2422654587475368E-3</c:v>
                </c:pt>
                <c:pt idx="4">
                  <c:v>8.1595063159942971E-3</c:v>
                </c:pt>
                <c:pt idx="5">
                  <c:v>1.1762029541630692E-2</c:v>
                </c:pt>
                <c:pt idx="6">
                  <c:v>-1.6429730334179521E-2</c:v>
                </c:pt>
                <c:pt idx="7">
                  <c:v>-4.3775656447219424E-3</c:v>
                </c:pt>
                <c:pt idx="8">
                  <c:v>-9.1012260023319996E-3</c:v>
                </c:pt>
                <c:pt idx="9">
                  <c:v>-7.9667982739301535E-3</c:v>
                </c:pt>
                <c:pt idx="10">
                  <c:v>1.54841810136264E-2</c:v>
                </c:pt>
                <c:pt idx="11">
                  <c:v>-6.1264056544320239E-3</c:v>
                </c:pt>
                <c:pt idx="12">
                  <c:v>-1.1420453533956806E-2</c:v>
                </c:pt>
                <c:pt idx="13">
                  <c:v>3.2290533242065184E-3</c:v>
                </c:pt>
                <c:pt idx="14">
                  <c:v>6.633658452361163E-4</c:v>
                </c:pt>
                <c:pt idx="15">
                  <c:v>-1.0351083663226207E-2</c:v>
                </c:pt>
              </c:numCache>
            </c:numRef>
          </c:val>
          <c:smooth val="0"/>
          <c:extLst>
            <c:ext xmlns:c16="http://schemas.microsoft.com/office/drawing/2014/chart" uri="{C3380CC4-5D6E-409C-BE32-E72D297353CC}">
              <c16:uniqueId val="{00000000-ECF2-48F1-ADB6-5F3270B12DFE}"/>
            </c:ext>
          </c:extLst>
        </c:ser>
        <c:dLbls>
          <c:showLegendKey val="0"/>
          <c:showVal val="0"/>
          <c:showCatName val="0"/>
          <c:showSerName val="0"/>
          <c:showPercent val="0"/>
          <c:showBubbleSize val="0"/>
        </c:dLbls>
        <c:smooth val="0"/>
        <c:axId val="2128765296"/>
        <c:axId val="2127908432"/>
      </c:lineChart>
      <c:catAx>
        <c:axId val="212876529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7908432"/>
        <c:crosses val="autoZero"/>
        <c:auto val="1"/>
        <c:lblAlgn val="ctr"/>
        <c:lblOffset val="100"/>
        <c:noMultiLvlLbl val="0"/>
      </c:catAx>
      <c:valAx>
        <c:axId val="21279084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87652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val>
            <c:numLit>
              <c:formatCode>General</c:formatCode>
              <c:ptCount val="54"/>
              <c:pt idx="0">
                <c:v>84.785717826022932</c:v>
              </c:pt>
              <c:pt idx="1">
                <c:v>98.357048555082898</c:v>
              </c:pt>
              <c:pt idx="2">
                <c:v>98.112973951900202</c:v>
              </c:pt>
              <c:pt idx="3">
                <c:v>97.48964808789367</c:v>
              </c:pt>
              <c:pt idx="4">
                <c:v>97.998689114310764</c:v>
              </c:pt>
              <c:pt idx="5">
                <c:v>100.22942401472596</c:v>
              </c:pt>
              <c:pt idx="6">
                <c:v>99.867888206402085</c:v>
              </c:pt>
              <c:pt idx="7">
                <c:v>102.17709577727278</c:v>
              </c:pt>
              <c:pt idx="8">
                <c:v>101.38202321971093</c:v>
              </c:pt>
              <c:pt idx="9">
                <c:v>104.3619618066578</c:v>
              </c:pt>
              <c:pt idx="10">
                <c:v>98.148216550127103</c:v>
              </c:pt>
              <c:pt idx="11">
                <c:v>94.43729782958971</c:v>
              </c:pt>
              <c:pt idx="12">
                <c:v>96.741722147136414</c:v>
              </c:pt>
              <c:pt idx="13">
                <c:v>92.116289980747695</c:v>
              </c:pt>
              <c:pt idx="14">
                <c:v>103.28076176009758</c:v>
              </c:pt>
              <c:pt idx="15">
                <c:v>102.40456185220256</c:v>
              </c:pt>
              <c:pt idx="16">
                <c:v>97.382721589669259</c:v>
              </c:pt>
              <c:pt idx="17">
                <c:v>97.438761772597715</c:v>
              </c:pt>
              <c:pt idx="18">
                <c:v>86.696215668899256</c:v>
              </c:pt>
              <c:pt idx="19">
                <c:v>92.66400101548615</c:v>
              </c:pt>
              <c:pt idx="20">
                <c:v>95.864213831567696</c:v>
              </c:pt>
              <c:pt idx="21">
                <c:v>97.40953867133048</c:v>
              </c:pt>
              <c:pt idx="22">
                <c:v>91.43842718329401</c:v>
              </c:pt>
              <c:pt idx="23">
                <c:v>158.33835039133069</c:v>
              </c:pt>
              <c:pt idx="24">
                <c:v>80.558232100734685</c:v>
              </c:pt>
              <c:pt idx="25">
                <c:v>99.855389632212336</c:v>
              </c:pt>
              <c:pt idx="26">
                <c:v>83.782955728261371</c:v>
              </c:pt>
              <c:pt idx="27">
                <c:v>104.14366488312798</c:v>
              </c:pt>
              <c:pt idx="28">
                <c:v>254.54044050736834</c:v>
              </c:pt>
              <c:pt idx="29">
                <c:v>76.553076321717427</c:v>
              </c:pt>
              <c:pt idx="30">
                <c:v>88.023545331390466</c:v>
              </c:pt>
              <c:pt idx="31">
                <c:v>107.82491469104973</c:v>
              </c:pt>
              <c:pt idx="32">
                <c:v>97.011736846802165</c:v>
              </c:pt>
              <c:pt idx="33">
                <c:v>87.725266586571138</c:v>
              </c:pt>
              <c:pt idx="34">
                <c:v>92.731389296443751</c:v>
              </c:pt>
              <c:pt idx="35">
                <c:v>99.293704296079255</c:v>
              </c:pt>
              <c:pt idx="36">
                <c:v>105.05460656450127</c:v>
              </c:pt>
              <c:pt idx="37">
                <c:v>106.93414632764302</c:v>
              </c:pt>
              <c:pt idx="38">
                <c:v>111.33101718760624</c:v>
              </c:pt>
              <c:pt idx="39">
                <c:v>101.81098192195222</c:v>
              </c:pt>
              <c:pt idx="40">
                <c:v>124.25113385043257</c:v>
              </c:pt>
              <c:pt idx="41">
                <c:v>134.89037518797056</c:v>
              </c:pt>
              <c:pt idx="42">
                <c:v>78.327518644749333</c:v>
              </c:pt>
              <c:pt idx="43">
                <c:v>102.11897766110279</c:v>
              </c:pt>
              <c:pt idx="44">
                <c:v>96.005784042525192</c:v>
              </c:pt>
              <c:pt idx="45">
                <c:v>79.609676281800745</c:v>
              </c:pt>
              <c:pt idx="46">
                <c:v>90.142758443065105</c:v>
              </c:pt>
              <c:pt idx="47">
                <c:v>98.177451963910514</c:v>
              </c:pt>
              <c:pt idx="48">
                <c:v>88.558809849831349</c:v>
              </c:pt>
              <c:pt idx="49">
                <c:v>98.628220611916234</c:v>
              </c:pt>
              <c:pt idx="50">
                <c:v>96.167728760021447</c:v>
              </c:pt>
              <c:pt idx="51">
                <c:v>92.746347094650034</c:v>
              </c:pt>
              <c:pt idx="52">
                <c:v>107.02472732544548</c:v>
              </c:pt>
              <c:pt idx="53">
                <c:v>97.934506363648225</c:v>
              </c:pt>
            </c:numLit>
          </c:val>
          <c:smooth val="0"/>
          <c:extLst>
            <c:ext xmlns:c16="http://schemas.microsoft.com/office/drawing/2014/chart" uri="{C3380CC4-5D6E-409C-BE32-E72D297353CC}">
              <c16:uniqueId val="{00000000-AFEB-44E5-BBDA-F2881531A809}"/>
            </c:ext>
          </c:extLst>
        </c:ser>
        <c:dLbls>
          <c:showLegendKey val="0"/>
          <c:showVal val="0"/>
          <c:showCatName val="0"/>
          <c:showSerName val="0"/>
          <c:showPercent val="0"/>
          <c:showBubbleSize val="0"/>
        </c:dLbls>
        <c:smooth val="0"/>
        <c:axId val="2128711136"/>
        <c:axId val="2128708352"/>
      </c:lineChart>
      <c:catAx>
        <c:axId val="2128711136"/>
        <c:scaling>
          <c:orientation val="minMax"/>
        </c:scaling>
        <c:delete val="0"/>
        <c:axPos val="b"/>
        <c:numFmt formatCode="General" sourceLinked="1"/>
        <c:majorTickMark val="out"/>
        <c:minorTickMark val="none"/>
        <c:tickLblPos val="nextTo"/>
        <c:crossAx val="2128708352"/>
        <c:crosses val="autoZero"/>
        <c:auto val="1"/>
        <c:lblAlgn val="ctr"/>
        <c:lblOffset val="100"/>
        <c:noMultiLvlLbl val="0"/>
      </c:catAx>
      <c:valAx>
        <c:axId val="2128708352"/>
        <c:scaling>
          <c:orientation val="minMax"/>
        </c:scaling>
        <c:delete val="0"/>
        <c:axPos val="l"/>
        <c:majorGridlines/>
        <c:numFmt formatCode="General" sourceLinked="1"/>
        <c:majorTickMark val="out"/>
        <c:minorTickMark val="none"/>
        <c:tickLblPos val="nextTo"/>
        <c:crossAx val="212871113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71741032370905E-2"/>
          <c:y val="5.1400554097404502E-2"/>
          <c:w val="0.88131955380577398"/>
          <c:h val="0.83261956838728501"/>
        </c:manualLayout>
      </c:layout>
      <c:lineChart>
        <c:grouping val="standard"/>
        <c:varyColors val="0"/>
        <c:ser>
          <c:idx val="0"/>
          <c:order val="0"/>
          <c:marker>
            <c:symbol val="none"/>
          </c:marker>
          <c:val>
            <c:numRef>
              <c:f>Calculo_TCR!$P$15:$P$68</c:f>
              <c:numCache>
                <c:formatCode>General</c:formatCode>
                <c:ptCount val="54"/>
                <c:pt idx="0">
                  <c:v>84.785717826022932</c:v>
                </c:pt>
                <c:pt idx="1">
                  <c:v>98.357048555082898</c:v>
                </c:pt>
                <c:pt idx="2">
                  <c:v>98.112973951900102</c:v>
                </c:pt>
                <c:pt idx="3">
                  <c:v>95.554191839089995</c:v>
                </c:pt>
                <c:pt idx="4">
                  <c:v>97.924246971004166</c:v>
                </c:pt>
                <c:pt idx="5">
                  <c:v>101.78147943511071</c:v>
                </c:pt>
                <c:pt idx="6">
                  <c:v>100.66895571868339</c:v>
                </c:pt>
                <c:pt idx="7">
                  <c:v>100.20976697831145</c:v>
                </c:pt>
                <c:pt idx="8">
                  <c:v>103.94109790693018</c:v>
                </c:pt>
                <c:pt idx="9">
                  <c:v>101.17788946282596</c:v>
                </c:pt>
                <c:pt idx="10">
                  <c:v>96.925147362845152</c:v>
                </c:pt>
                <c:pt idx="11">
                  <c:v>94.175234843083544</c:v>
                </c:pt>
                <c:pt idx="12">
                  <c:v>95.642050870242628</c:v>
                </c:pt>
                <c:pt idx="13">
                  <c:v>94.547232622562092</c:v>
                </c:pt>
                <c:pt idx="14">
                  <c:v>101.39342959615034</c:v>
                </c:pt>
                <c:pt idx="15">
                  <c:v>103.5037230382555</c:v>
                </c:pt>
                <c:pt idx="16">
                  <c:v>97.366531788933031</c:v>
                </c:pt>
                <c:pt idx="17">
                  <c:v>92.287555053304899</c:v>
                </c:pt>
                <c:pt idx="18">
                  <c:v>81.87985401996481</c:v>
                </c:pt>
                <c:pt idx="19">
                  <c:v>98.647405763851964</c:v>
                </c:pt>
                <c:pt idx="20">
                  <c:v>101.04786979462399</c:v>
                </c:pt>
                <c:pt idx="21">
                  <c:v>95.52733206506943</c:v>
                </c:pt>
                <c:pt idx="22">
                  <c:v>90.91646062271063</c:v>
                </c:pt>
                <c:pt idx="23">
                  <c:v>146.73721340388008</c:v>
                </c:pt>
                <c:pt idx="24">
                  <c:v>81.96029654817967</c:v>
                </c:pt>
                <c:pt idx="25">
                  <c:v>105.99541394324663</c:v>
                </c:pt>
                <c:pt idx="26">
                  <c:v>77.287110835583988</c:v>
                </c:pt>
                <c:pt idx="27">
                  <c:v>109.55781323779937</c:v>
                </c:pt>
                <c:pt idx="28">
                  <c:v>249.46911762329509</c:v>
                </c:pt>
                <c:pt idx="29">
                  <c:v>73.427857037381656</c:v>
                </c:pt>
                <c:pt idx="30">
                  <c:v>97.832479800390516</c:v>
                </c:pt>
                <c:pt idx="31">
                  <c:v>105.36333694282236</c:v>
                </c:pt>
                <c:pt idx="32">
                  <c:v>95.279735852795099</c:v>
                </c:pt>
                <c:pt idx="33">
                  <c:v>89.454376399423197</c:v>
                </c:pt>
                <c:pt idx="34">
                  <c:v>95.129747303792783</c:v>
                </c:pt>
                <c:pt idx="35">
                  <c:v>100.78167499279176</c:v>
                </c:pt>
                <c:pt idx="36">
                  <c:v>105.79758413641784</c:v>
                </c:pt>
                <c:pt idx="37">
                  <c:v>104.05159270126629</c:v>
                </c:pt>
                <c:pt idx="38">
                  <c:v>112.75365851016358</c:v>
                </c:pt>
                <c:pt idx="39">
                  <c:v>102.12926152313679</c:v>
                </c:pt>
                <c:pt idx="40">
                  <c:v>122.96989895432964</c:v>
                </c:pt>
                <c:pt idx="41">
                  <c:v>130.02336140425669</c:v>
                </c:pt>
                <c:pt idx="42">
                  <c:v>81.842522604558681</c:v>
                </c:pt>
                <c:pt idx="43">
                  <c:v>103.62726949179304</c:v>
                </c:pt>
                <c:pt idx="44">
                  <c:v>93.328555440614764</c:v>
                </c:pt>
                <c:pt idx="45">
                  <c:v>77.566862778477045</c:v>
                </c:pt>
                <c:pt idx="46">
                  <c:v>91.983936921007256</c:v>
                </c:pt>
                <c:pt idx="47">
                  <c:v>100.60201003220941</c:v>
                </c:pt>
                <c:pt idx="48">
                  <c:v>89.194769458355765</c:v>
                </c:pt>
                <c:pt idx="49">
                  <c:v>96.270067957929044</c:v>
                </c:pt>
                <c:pt idx="50">
                  <c:v>99.204317474269274</c:v>
                </c:pt>
                <c:pt idx="51">
                  <c:v>92.477543551977831</c:v>
                </c:pt>
                <c:pt idx="52">
                  <c:v>105.92792222686884</c:v>
                </c:pt>
                <c:pt idx="53">
                  <c:v>98.70052530913695</c:v>
                </c:pt>
              </c:numCache>
            </c:numRef>
          </c:val>
          <c:smooth val="0"/>
          <c:extLst>
            <c:ext xmlns:c16="http://schemas.microsoft.com/office/drawing/2014/chart" uri="{C3380CC4-5D6E-409C-BE32-E72D297353CC}">
              <c16:uniqueId val="{00000000-5067-4415-8718-FD25DFD02D8A}"/>
            </c:ext>
          </c:extLst>
        </c:ser>
        <c:ser>
          <c:idx val="1"/>
          <c:order val="1"/>
          <c:marker>
            <c:symbol val="none"/>
          </c:marker>
          <c:val>
            <c:numRef>
              <c:f>Calculo_TCR!$Q$14:$Q$68</c:f>
              <c:numCache>
                <c:formatCode>General</c:formatCode>
                <c:ptCount val="55"/>
                <c:pt idx="0">
                  <c:v>114.99940951518647</c:v>
                </c:pt>
                <c:pt idx="1">
                  <c:v>97.503074853138571</c:v>
                </c:pt>
                <c:pt idx="2">
                  <c:v>95.901146676000323</c:v>
                </c:pt>
                <c:pt idx="3">
                  <c:v>94.091467057797729</c:v>
                </c:pt>
                <c:pt idx="4">
                  <c:v>89.90834093662221</c:v>
                </c:pt>
                <c:pt idx="5">
                  <c:v>88.042065826310363</c:v>
                </c:pt>
                <c:pt idx="6">
                  <c:v>89.61051712325272</c:v>
                </c:pt>
                <c:pt idx="7">
                  <c:v>90.209971802090493</c:v>
                </c:pt>
                <c:pt idx="8">
                  <c:v>90.399202534075329</c:v>
                </c:pt>
                <c:pt idx="9">
                  <c:v>93.961923613027352</c:v>
                </c:pt>
                <c:pt idx="10">
                  <c:v>95.068691210333753</c:v>
                </c:pt>
                <c:pt idx="11">
                  <c:v>92.145469051544225</c:v>
                </c:pt>
                <c:pt idx="12">
                  <c:v>86.778211876552646</c:v>
                </c:pt>
                <c:pt idx="13">
                  <c:v>82.996461547259415</c:v>
                </c:pt>
                <c:pt idx="14">
                  <c:v>78.470857567582655</c:v>
                </c:pt>
                <c:pt idx="15">
                  <c:v>79.564293721282326</c:v>
                </c:pt>
                <c:pt idx="16">
                  <c:v>82.352006210620189</c:v>
                </c:pt>
                <c:pt idx="17">
                  <c:v>80.183292305887605</c:v>
                </c:pt>
                <c:pt idx="18">
                  <c:v>73.999200030348419</c:v>
                </c:pt>
                <c:pt idx="19">
                  <c:v>60.590436960791045</c:v>
                </c:pt>
                <c:pt idx="20">
                  <c:v>59.770894202802488</c:v>
                </c:pt>
                <c:pt idx="21">
                  <c:v>60.397215349130313</c:v>
                </c:pt>
                <c:pt idx="22">
                  <c:v>57.695848464618798</c:v>
                </c:pt>
                <c:pt idx="23">
                  <c:v>52.45502335027394</c:v>
                </c:pt>
                <c:pt idx="24">
                  <c:v>76.971039554546593</c:v>
                </c:pt>
                <c:pt idx="25">
                  <c:v>63.085692275123058</c:v>
                </c:pt>
                <c:pt idx="26">
                  <c:v>66.867940665979475</c:v>
                </c:pt>
                <c:pt idx="27">
                  <c:v>51.680299415988088</c:v>
                </c:pt>
                <c:pt idx="28">
                  <c:v>56.619805914903729</c:v>
                </c:pt>
                <c:pt idx="29">
                  <c:v>141.2489302159326</c:v>
                </c:pt>
                <c:pt idx="30">
                  <c:v>103.71606254578596</c:v>
                </c:pt>
                <c:pt idx="31">
                  <c:v>101.46799593986647</c:v>
                </c:pt>
                <c:pt idx="32">
                  <c:v>106.91006645125078</c:v>
                </c:pt>
                <c:pt idx="33">
                  <c:v>101.86362891479951</c:v>
                </c:pt>
                <c:pt idx="34">
                  <c:v>91.121474023556416</c:v>
                </c:pt>
                <c:pt idx="35">
                  <c:v>86.68362797810039</c:v>
                </c:pt>
                <c:pt idx="36">
                  <c:v>87.36121222084985</c:v>
                </c:pt>
                <c:pt idx="37">
                  <c:v>92.426052001948136</c:v>
                </c:pt>
                <c:pt idx="38">
                  <c:v>96.17077917892766</c:v>
                </c:pt>
                <c:pt idx="39">
                  <c:v>108.4360719419716</c:v>
                </c:pt>
                <c:pt idx="40">
                  <c:v>110.74495949903292</c:v>
                </c:pt>
                <c:pt idx="41">
                  <c:v>136.1829647929741</c:v>
                </c:pt>
                <c:pt idx="42">
                  <c:v>177.06966848380037</c:v>
                </c:pt>
                <c:pt idx="43">
                  <c:v>144.91828345467144</c:v>
                </c:pt>
                <c:pt idx="44">
                  <c:v>150.17486013845291</c:v>
                </c:pt>
                <c:pt idx="45">
                  <c:v>140.15602760218172</c:v>
                </c:pt>
                <c:pt idx="46">
                  <c:v>108.71463360594871</c:v>
                </c:pt>
                <c:pt idx="47">
                  <c:v>100.00000000000003</c:v>
                </c:pt>
                <c:pt idx="48">
                  <c:v>100.60201003220941</c:v>
                </c:pt>
                <c:pt idx="49">
                  <c:v>89.731730918701089</c:v>
                </c:pt>
                <c:pt idx="50">
                  <c:v>86.384798335259575</c:v>
                </c:pt>
                <c:pt idx="51">
                  <c:v>85.697449590018195</c:v>
                </c:pt>
                <c:pt idx="52">
                  <c:v>79.250896267543325</c:v>
                </c:pt>
                <c:pt idx="53">
                  <c:v>83.948827762379793</c:v>
                </c:pt>
                <c:pt idx="54">
                  <c:v>82.857933992331454</c:v>
                </c:pt>
              </c:numCache>
            </c:numRef>
          </c:val>
          <c:smooth val="0"/>
          <c:extLst>
            <c:ext xmlns:c16="http://schemas.microsoft.com/office/drawing/2014/chart" uri="{C3380CC4-5D6E-409C-BE32-E72D297353CC}">
              <c16:uniqueId val="{00000001-5067-4415-8718-FD25DFD02D8A}"/>
            </c:ext>
          </c:extLst>
        </c:ser>
        <c:dLbls>
          <c:showLegendKey val="0"/>
          <c:showVal val="0"/>
          <c:showCatName val="0"/>
          <c:showSerName val="0"/>
          <c:showPercent val="0"/>
          <c:showBubbleSize val="0"/>
        </c:dLbls>
        <c:smooth val="0"/>
        <c:axId val="2128676208"/>
        <c:axId val="2128673408"/>
      </c:lineChart>
      <c:catAx>
        <c:axId val="2128676208"/>
        <c:scaling>
          <c:orientation val="minMax"/>
        </c:scaling>
        <c:delete val="0"/>
        <c:axPos val="b"/>
        <c:numFmt formatCode="General" sourceLinked="1"/>
        <c:majorTickMark val="out"/>
        <c:minorTickMark val="none"/>
        <c:tickLblPos val="nextTo"/>
        <c:crossAx val="2128673408"/>
        <c:crosses val="autoZero"/>
        <c:auto val="1"/>
        <c:lblAlgn val="ctr"/>
        <c:lblOffset val="100"/>
        <c:noMultiLvlLbl val="0"/>
      </c:catAx>
      <c:valAx>
        <c:axId val="2128673408"/>
        <c:scaling>
          <c:orientation val="minMax"/>
        </c:scaling>
        <c:delete val="0"/>
        <c:axPos val="l"/>
        <c:majorGridlines/>
        <c:numFmt formatCode="General" sourceLinked="1"/>
        <c:majorTickMark val="out"/>
        <c:minorTickMark val="none"/>
        <c:tickLblPos val="nextTo"/>
        <c:crossAx val="2128676208"/>
        <c:crosses val="autoZero"/>
        <c:crossBetween val="between"/>
      </c:valAx>
    </c:plotArea>
    <c:legend>
      <c:legendPos val="r"/>
      <c:layout>
        <c:manualLayout>
          <c:xMode val="edge"/>
          <c:yMode val="edge"/>
          <c:x val="0.18526334208223999"/>
          <c:y val="8.7579104695246393E-2"/>
          <c:w val="0.108468581345027"/>
          <c:h val="0.133761745863575"/>
        </c:manualLayout>
      </c:layout>
      <c:overlay val="0"/>
    </c:legend>
    <c:plotVisOnly val="1"/>
    <c:dispBlanksAs val="gap"/>
    <c:showDLblsOverMax val="0"/>
  </c:chart>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897335107993003E-2"/>
          <c:y val="5.1400554097404502E-2"/>
          <c:w val="0.83721345258382995"/>
          <c:h val="0.89719889180519097"/>
        </c:manualLayout>
      </c:layout>
      <c:lineChart>
        <c:grouping val="standard"/>
        <c:varyColors val="0"/>
        <c:ser>
          <c:idx val="0"/>
          <c:order val="0"/>
          <c:tx>
            <c:v>Primary Deficit/GDP</c:v>
          </c:tx>
          <c:marker>
            <c:symbol val="none"/>
          </c:marker>
          <c:cat>
            <c:numRef>
              <c:f>'Budget Constraint'!$A$4:$A$15</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'Budget Constraint'!$G$4:$G$15</c:f>
              <c:numCache>
                <c:formatCode>0.0%</c:formatCode>
                <c:ptCount val="12"/>
                <c:pt idx="0">
                  <c:v>-1.5945934768813585E-3</c:v>
                </c:pt>
                <c:pt idx="1">
                  <c:v>1.2127925991200912E-2</c:v>
                </c:pt>
                <c:pt idx="2">
                  <c:v>1.2547991842453057E-2</c:v>
                </c:pt>
                <c:pt idx="3">
                  <c:v>-5.8359809243213054E-3</c:v>
                </c:pt>
                <c:pt idx="4">
                  <c:v>1.7329133195915881E-2</c:v>
                </c:pt>
                <c:pt idx="5">
                  <c:v>4.6538319559597169E-2</c:v>
                </c:pt>
                <c:pt idx="6">
                  <c:v>4.975797306665438E-2</c:v>
                </c:pt>
                <c:pt idx="7">
                  <c:v>1.223453726096964E-2</c:v>
                </c:pt>
                <c:pt idx="8">
                  <c:v>6.5575309999832939E-3</c:v>
                </c:pt>
                <c:pt idx="9">
                  <c:v>1.6800159390905029E-2</c:v>
                </c:pt>
                <c:pt idx="10">
                  <c:v>2.6748188086502613E-2</c:v>
                </c:pt>
                <c:pt idx="11">
                  <c:v>1.0066694864508683E-2</c:v>
                </c:pt>
              </c:numCache>
            </c:numRef>
          </c:val>
          <c:smooth val="0"/>
          <c:extLst>
            <c:ext xmlns:c16="http://schemas.microsoft.com/office/drawing/2014/chart" uri="{C3380CC4-5D6E-409C-BE32-E72D297353CC}">
              <c16:uniqueId val="{00000000-34A3-43C6-9F6C-F396190F4B4F}"/>
            </c:ext>
          </c:extLst>
        </c:ser>
        <c:dLbls>
          <c:showLegendKey val="0"/>
          <c:showVal val="0"/>
          <c:showCatName val="0"/>
          <c:showSerName val="0"/>
          <c:showPercent val="0"/>
          <c:showBubbleSize val="0"/>
        </c:dLbls>
        <c:marker val="1"/>
        <c:smooth val="0"/>
        <c:axId val="2128609808"/>
        <c:axId val="2130091824"/>
      </c:lineChart>
      <c:lineChart>
        <c:grouping val="standard"/>
        <c:varyColors val="0"/>
        <c:ser>
          <c:idx val="1"/>
          <c:order val="1"/>
          <c:tx>
            <c:strRef>
              <c:f>'Budget Constraint'!$I$2</c:f>
              <c:strCache>
                <c:ptCount val="1"/>
                <c:pt idx="0">
                  <c:v>Inflation (Right Axis)</c:v>
                </c:pt>
              </c:strCache>
            </c:strRef>
          </c:tx>
          <c:spPr>
            <a:ln>
              <a:solidFill>
                <a:schemeClr val="accent6">
                  <a:lumMod val="75000"/>
                </a:schemeClr>
              </a:solidFill>
            </a:ln>
          </c:spPr>
          <c:marker>
            <c:symbol val="none"/>
          </c:marker>
          <c:cat>
            <c:numRef>
              <c:f>'Budget Constraint'!$A$4:$A$15</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'Budget Constraint'!$I$4:$I$15</c:f>
              <c:numCache>
                <c:formatCode>0%</c:formatCode>
                <c:ptCount val="12"/>
                <c:pt idx="0">
                  <c:v>1.9999999999999796E-2</c:v>
                </c:pt>
                <c:pt idx="1">
                  <c:v>1.5686274509804088E-2</c:v>
                </c:pt>
                <c:pt idx="2">
                  <c:v>5.044222772771989E-2</c:v>
                </c:pt>
                <c:pt idx="3">
                  <c:v>3.9215686274509665E-2</c:v>
                </c:pt>
                <c:pt idx="4">
                  <c:v>1.3207547169811429E-2</c:v>
                </c:pt>
                <c:pt idx="5">
                  <c:v>5.5865921787707773E-3</c:v>
                </c:pt>
                <c:pt idx="6">
                  <c:v>2.6851851851851904E-2</c:v>
                </c:pt>
                <c:pt idx="7">
                  <c:v>-2.7051397655546428E-3</c:v>
                </c:pt>
                <c:pt idx="8">
                  <c:v>2.2603978300180794E-2</c:v>
                </c:pt>
                <c:pt idx="9">
                  <c:v>6.2776304155614637E-2</c:v>
                </c:pt>
                <c:pt idx="10">
                  <c:v>9.4841930116472462E-2</c:v>
                </c:pt>
                <c:pt idx="11">
                  <c:v>0.14133738601823698</c:v>
                </c:pt>
              </c:numCache>
            </c:numRef>
          </c:val>
          <c:smooth val="0"/>
          <c:extLst>
            <c:ext xmlns:c16="http://schemas.microsoft.com/office/drawing/2014/chart" uri="{C3380CC4-5D6E-409C-BE32-E72D297353CC}">
              <c16:uniqueId val="{00000001-34A3-43C6-9F6C-F396190F4B4F}"/>
            </c:ext>
          </c:extLst>
        </c:ser>
        <c:dLbls>
          <c:showLegendKey val="0"/>
          <c:showVal val="0"/>
          <c:showCatName val="0"/>
          <c:showSerName val="0"/>
          <c:showPercent val="0"/>
          <c:showBubbleSize val="0"/>
        </c:dLbls>
        <c:marker val="1"/>
        <c:smooth val="0"/>
        <c:axId val="2130097744"/>
        <c:axId val="2130094992"/>
      </c:lineChart>
      <c:catAx>
        <c:axId val="2128609808"/>
        <c:scaling>
          <c:orientation val="minMax"/>
        </c:scaling>
        <c:delete val="0"/>
        <c:axPos val="b"/>
        <c:numFmt formatCode="General" sourceLinked="1"/>
        <c:majorTickMark val="out"/>
        <c:minorTickMark val="none"/>
        <c:tickLblPos val="nextTo"/>
        <c:crossAx val="2130091824"/>
        <c:crosses val="autoZero"/>
        <c:auto val="1"/>
        <c:lblAlgn val="ctr"/>
        <c:lblOffset val="100"/>
        <c:noMultiLvlLbl val="0"/>
      </c:catAx>
      <c:valAx>
        <c:axId val="2130091824"/>
        <c:scaling>
          <c:orientation val="minMax"/>
        </c:scaling>
        <c:delete val="0"/>
        <c:axPos val="l"/>
        <c:majorGridlines>
          <c:spPr>
            <a:ln>
              <a:solidFill>
                <a:schemeClr val="bg1"/>
              </a:solidFill>
            </a:ln>
          </c:spPr>
        </c:majorGridlines>
        <c:numFmt formatCode="0.0%" sourceLinked="1"/>
        <c:majorTickMark val="out"/>
        <c:minorTickMark val="none"/>
        <c:tickLblPos val="nextTo"/>
        <c:crossAx val="2128609808"/>
        <c:crosses val="autoZero"/>
        <c:crossBetween val="between"/>
      </c:valAx>
      <c:valAx>
        <c:axId val="2130094992"/>
        <c:scaling>
          <c:orientation val="minMax"/>
        </c:scaling>
        <c:delete val="0"/>
        <c:axPos val="r"/>
        <c:numFmt formatCode="0%" sourceLinked="1"/>
        <c:majorTickMark val="out"/>
        <c:minorTickMark val="none"/>
        <c:tickLblPos val="nextTo"/>
        <c:crossAx val="2130097744"/>
        <c:crosses val="max"/>
        <c:crossBetween val="between"/>
      </c:valAx>
      <c:catAx>
        <c:axId val="2130097744"/>
        <c:scaling>
          <c:orientation val="minMax"/>
        </c:scaling>
        <c:delete val="1"/>
        <c:axPos val="b"/>
        <c:numFmt formatCode="General" sourceLinked="1"/>
        <c:majorTickMark val="out"/>
        <c:minorTickMark val="none"/>
        <c:tickLblPos val="nextTo"/>
        <c:crossAx val="2130094992"/>
        <c:crosses val="autoZero"/>
        <c:auto val="1"/>
        <c:lblAlgn val="ctr"/>
        <c:lblOffset val="100"/>
        <c:noMultiLvlLbl val="0"/>
      </c:catAx>
    </c:plotArea>
    <c:legend>
      <c:legendPos val="r"/>
      <c:layout>
        <c:manualLayout>
          <c:xMode val="edge"/>
          <c:yMode val="edge"/>
          <c:x val="0.22497593468698501"/>
          <c:y val="8.98196880880168E-3"/>
          <c:w val="0.57585709162018905"/>
          <c:h val="0.102047184533701"/>
        </c:manualLayout>
      </c:layout>
      <c:overlay val="0"/>
    </c:legend>
    <c:plotVisOnly val="1"/>
    <c:dispBlanksAs val="gap"/>
    <c:showDLblsOverMax val="0"/>
  </c:chart>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897335107993003E-2"/>
          <c:y val="5.1400554097404502E-2"/>
          <c:w val="0.83721345258382995"/>
          <c:h val="0.89719889180519097"/>
        </c:manualLayout>
      </c:layout>
      <c:lineChart>
        <c:grouping val="standard"/>
        <c:varyColors val="0"/>
        <c:ser>
          <c:idx val="0"/>
          <c:order val="0"/>
          <c:tx>
            <c:v>Primary Deficit/GDP</c:v>
          </c:tx>
          <c:marker>
            <c:symbol val="none"/>
          </c:marker>
          <c:cat>
            <c:numRef>
              <c:f>'Budget Constraint'!$A$16:$A$31</c:f>
              <c:numCache>
                <c:formatCode>General</c:formatCode>
                <c:ptCount val="1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numCache>
            </c:numRef>
          </c:cat>
          <c:val>
            <c:numRef>
              <c:f>'Budget Constraint'!$G$16:$G$31</c:f>
              <c:numCache>
                <c:formatCode>0.0%</c:formatCode>
                <c:ptCount val="16"/>
                <c:pt idx="0">
                  <c:v>5.7354628901372289E-3</c:v>
                </c:pt>
                <c:pt idx="1">
                  <c:v>5.1536322162330263E-2</c:v>
                </c:pt>
                <c:pt idx="2">
                  <c:v>2.7010973887993103E-2</c:v>
                </c:pt>
                <c:pt idx="3">
                  <c:v>9.660644420555883E-3</c:v>
                </c:pt>
                <c:pt idx="4">
                  <c:v>1.4848140573661369E-2</c:v>
                </c:pt>
                <c:pt idx="5">
                  <c:v>-1.6197041106123272E-2</c:v>
                </c:pt>
                <c:pt idx="6">
                  <c:v>-4.0330144684853214E-3</c:v>
                </c:pt>
                <c:pt idx="7">
                  <c:v>2.8817987670056652E-2</c:v>
                </c:pt>
                <c:pt idx="8">
                  <c:v>1.0027406966066769E-2</c:v>
                </c:pt>
                <c:pt idx="9">
                  <c:v>4.9542549409997978E-2</c:v>
                </c:pt>
                <c:pt idx="10">
                  <c:v>5.7739397128618239E-2</c:v>
                </c:pt>
                <c:pt idx="11">
                  <c:v>2.1256641375142372E-2</c:v>
                </c:pt>
                <c:pt idx="12">
                  <c:v>1.3762587028057976E-2</c:v>
                </c:pt>
                <c:pt idx="13">
                  <c:v>8.2117265722302917E-3</c:v>
                </c:pt>
                <c:pt idx="14">
                  <c:v>1.3754138281225627E-2</c:v>
                </c:pt>
                <c:pt idx="15">
                  <c:v>2.9187890876385052E-3</c:v>
                </c:pt>
              </c:numCache>
            </c:numRef>
          </c:val>
          <c:smooth val="0"/>
          <c:extLst>
            <c:ext xmlns:c16="http://schemas.microsoft.com/office/drawing/2014/chart" uri="{C3380CC4-5D6E-409C-BE32-E72D297353CC}">
              <c16:uniqueId val="{00000000-29FE-4D87-B916-0211023B3FA5}"/>
            </c:ext>
          </c:extLst>
        </c:ser>
        <c:dLbls>
          <c:showLegendKey val="0"/>
          <c:showVal val="0"/>
          <c:showCatName val="0"/>
          <c:showSerName val="0"/>
          <c:showPercent val="0"/>
          <c:showBubbleSize val="0"/>
        </c:dLbls>
        <c:marker val="1"/>
        <c:smooth val="0"/>
        <c:axId val="2130133072"/>
        <c:axId val="2130135984"/>
      </c:lineChart>
      <c:lineChart>
        <c:grouping val="standard"/>
        <c:varyColors val="0"/>
        <c:ser>
          <c:idx val="1"/>
          <c:order val="1"/>
          <c:tx>
            <c:strRef>
              <c:f>'Budget Constraint'!$I$2</c:f>
              <c:strCache>
                <c:ptCount val="1"/>
                <c:pt idx="0">
                  <c:v>Inflation (Right Axis)</c:v>
                </c:pt>
              </c:strCache>
            </c:strRef>
          </c:tx>
          <c:spPr>
            <a:ln>
              <a:solidFill>
                <a:schemeClr val="accent6">
                  <a:lumMod val="75000"/>
                </a:schemeClr>
              </a:solidFill>
            </a:ln>
          </c:spPr>
          <c:marker>
            <c:symbol val="none"/>
          </c:marker>
          <c:cat>
            <c:numRef>
              <c:f>'Budget Constraint'!$A$16:$A$31</c:f>
              <c:numCache>
                <c:formatCode>General</c:formatCode>
                <c:ptCount val="1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numCache>
            </c:numRef>
          </c:cat>
          <c:val>
            <c:numRef>
              <c:f>'Budget Constraint'!$I$16:$I$31</c:f>
              <c:numCache>
                <c:formatCode>0%</c:formatCode>
                <c:ptCount val="16"/>
                <c:pt idx="0">
                  <c:v>0.2197070572569908</c:v>
                </c:pt>
                <c:pt idx="1">
                  <c:v>8.6790393013100431E-2</c:v>
                </c:pt>
                <c:pt idx="2">
                  <c:v>3.3651431441486634E-2</c:v>
                </c:pt>
                <c:pt idx="3">
                  <c:v>9.3780369290573207E-2</c:v>
                </c:pt>
                <c:pt idx="4">
                  <c:v>0.16836961350510871</c:v>
                </c:pt>
                <c:pt idx="5">
                  <c:v>0.35703422053231959</c:v>
                </c:pt>
                <c:pt idx="6">
                  <c:v>0.15017255226305104</c:v>
                </c:pt>
                <c:pt idx="7">
                  <c:v>8.1180811808118092E-2</c:v>
                </c:pt>
                <c:pt idx="8">
                  <c:v>8.8737201365187701E-2</c:v>
                </c:pt>
                <c:pt idx="9">
                  <c:v>0.14106583072100309</c:v>
                </c:pt>
                <c:pt idx="10">
                  <c:v>0.29807692307692291</c:v>
                </c:pt>
                <c:pt idx="11">
                  <c:v>0.23068783068783083</c:v>
                </c:pt>
                <c:pt idx="12">
                  <c:v>0.24118658641444535</c:v>
                </c:pt>
                <c:pt idx="13">
                  <c:v>0.32040180117769324</c:v>
                </c:pt>
                <c:pt idx="14">
                  <c:v>0.16946484784889826</c:v>
                </c:pt>
                <c:pt idx="15">
                  <c:v>0.28532974427994606</c:v>
                </c:pt>
              </c:numCache>
            </c:numRef>
          </c:val>
          <c:smooth val="0"/>
          <c:extLst>
            <c:ext xmlns:c16="http://schemas.microsoft.com/office/drawing/2014/chart" uri="{C3380CC4-5D6E-409C-BE32-E72D297353CC}">
              <c16:uniqueId val="{00000001-29FE-4D87-B916-0211023B3FA5}"/>
            </c:ext>
          </c:extLst>
        </c:ser>
        <c:dLbls>
          <c:showLegendKey val="0"/>
          <c:showVal val="0"/>
          <c:showCatName val="0"/>
          <c:showSerName val="0"/>
          <c:showPercent val="0"/>
          <c:showBubbleSize val="0"/>
        </c:dLbls>
        <c:marker val="1"/>
        <c:smooth val="0"/>
        <c:axId val="2130141904"/>
        <c:axId val="2130139152"/>
      </c:lineChart>
      <c:catAx>
        <c:axId val="2130133072"/>
        <c:scaling>
          <c:orientation val="minMax"/>
        </c:scaling>
        <c:delete val="0"/>
        <c:axPos val="b"/>
        <c:numFmt formatCode="General" sourceLinked="1"/>
        <c:majorTickMark val="out"/>
        <c:minorTickMark val="none"/>
        <c:tickLblPos val="nextTo"/>
        <c:crossAx val="2130135984"/>
        <c:crosses val="autoZero"/>
        <c:auto val="1"/>
        <c:lblAlgn val="ctr"/>
        <c:lblOffset val="100"/>
        <c:noMultiLvlLbl val="0"/>
      </c:catAx>
      <c:valAx>
        <c:axId val="2130135984"/>
        <c:scaling>
          <c:orientation val="minMax"/>
        </c:scaling>
        <c:delete val="0"/>
        <c:axPos val="l"/>
        <c:majorGridlines>
          <c:spPr>
            <a:ln>
              <a:solidFill>
                <a:schemeClr val="bg1"/>
              </a:solidFill>
            </a:ln>
          </c:spPr>
        </c:majorGridlines>
        <c:numFmt formatCode="0.0%" sourceLinked="1"/>
        <c:majorTickMark val="out"/>
        <c:minorTickMark val="none"/>
        <c:tickLblPos val="nextTo"/>
        <c:crossAx val="2130133072"/>
        <c:crosses val="autoZero"/>
        <c:crossBetween val="between"/>
      </c:valAx>
      <c:valAx>
        <c:axId val="2130139152"/>
        <c:scaling>
          <c:orientation val="minMax"/>
        </c:scaling>
        <c:delete val="0"/>
        <c:axPos val="r"/>
        <c:numFmt formatCode="0%" sourceLinked="1"/>
        <c:majorTickMark val="out"/>
        <c:minorTickMark val="none"/>
        <c:tickLblPos val="nextTo"/>
        <c:crossAx val="2130141904"/>
        <c:crosses val="max"/>
        <c:crossBetween val="between"/>
      </c:valAx>
      <c:catAx>
        <c:axId val="2130141904"/>
        <c:scaling>
          <c:orientation val="minMax"/>
        </c:scaling>
        <c:delete val="1"/>
        <c:axPos val="b"/>
        <c:numFmt formatCode="General" sourceLinked="1"/>
        <c:majorTickMark val="out"/>
        <c:minorTickMark val="none"/>
        <c:tickLblPos val="nextTo"/>
        <c:crossAx val="2130139152"/>
        <c:crosses val="autoZero"/>
        <c:auto val="1"/>
        <c:lblAlgn val="ctr"/>
        <c:lblOffset val="100"/>
        <c:noMultiLvlLbl val="0"/>
      </c:catAx>
    </c:plotArea>
    <c:legend>
      <c:legendPos val="r"/>
      <c:layout>
        <c:manualLayout>
          <c:xMode val="edge"/>
          <c:yMode val="edge"/>
          <c:x val="0.20101444781604999"/>
          <c:y val="4.1974545944233098E-3"/>
          <c:w val="0.58592916701129705"/>
          <c:h val="9.8160338119760202E-2"/>
        </c:manualLayout>
      </c:layout>
      <c:overlay val="0"/>
    </c:legend>
    <c:plotVisOnly val="1"/>
    <c:dispBlanksAs val="gap"/>
    <c:showDLblsOverMax val="0"/>
  </c:chart>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897335107993003E-2"/>
          <c:y val="5.1400554097404502E-2"/>
          <c:w val="0.83721345258382995"/>
          <c:h val="0.89719889180519097"/>
        </c:manualLayout>
      </c:layout>
      <c:lineChart>
        <c:grouping val="standard"/>
        <c:varyColors val="0"/>
        <c:ser>
          <c:idx val="0"/>
          <c:order val="0"/>
          <c:tx>
            <c:v>Primary Deficit/GDP</c:v>
          </c:tx>
          <c:marker>
            <c:symbol val="none"/>
          </c:marker>
          <c:cat>
            <c:numRef>
              <c:f>'Budget Constraint'!$A$46:$A$56</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'Budget Constraint'!$G$46:$G$56</c:f>
              <c:numCache>
                <c:formatCode>0.0%</c:formatCode>
                <c:ptCount val="11"/>
                <c:pt idx="0">
                  <c:v>-2.1459125152034349E-2</c:v>
                </c:pt>
                <c:pt idx="1">
                  <c:v>-1.4589933950646556E-2</c:v>
                </c:pt>
                <c:pt idx="2">
                  <c:v>-2.0807571819353624E-2</c:v>
                </c:pt>
                <c:pt idx="3">
                  <c:v>-1.8132912118761356E-2</c:v>
                </c:pt>
                <c:pt idx="4">
                  <c:v>-3.0258425469593144E-2</c:v>
                </c:pt>
                <c:pt idx="5">
                  <c:v>3.4338402826252822E-3</c:v>
                </c:pt>
                <c:pt idx="6">
                  <c:v>-8.929349655473191E-3</c:v>
                </c:pt>
                <c:pt idx="7">
                  <c:v>-1.3615591717657808E-2</c:v>
                </c:pt>
                <c:pt idx="8">
                  <c:v>1.5447232822953856E-2</c:v>
                </c:pt>
                <c:pt idx="9">
                  <c:v>1.7664602327587233E-2</c:v>
                </c:pt>
                <c:pt idx="10">
                  <c:v>1.2994887700163785E-2</c:v>
                </c:pt>
              </c:numCache>
            </c:numRef>
          </c:val>
          <c:smooth val="0"/>
          <c:extLst>
            <c:ext xmlns:c16="http://schemas.microsoft.com/office/drawing/2014/chart" uri="{C3380CC4-5D6E-409C-BE32-E72D297353CC}">
              <c16:uniqueId val="{00000000-F50D-4B37-9A33-0CB75F32628C}"/>
            </c:ext>
          </c:extLst>
        </c:ser>
        <c:dLbls>
          <c:showLegendKey val="0"/>
          <c:showVal val="0"/>
          <c:showCatName val="0"/>
          <c:showSerName val="0"/>
          <c:showPercent val="0"/>
          <c:showBubbleSize val="0"/>
        </c:dLbls>
        <c:marker val="1"/>
        <c:smooth val="0"/>
        <c:axId val="2130176400"/>
        <c:axId val="2130179312"/>
      </c:lineChart>
      <c:lineChart>
        <c:grouping val="standard"/>
        <c:varyColors val="0"/>
        <c:ser>
          <c:idx val="1"/>
          <c:order val="1"/>
          <c:tx>
            <c:strRef>
              <c:f>'Budget Constraint'!$I$2</c:f>
              <c:strCache>
                <c:ptCount val="1"/>
                <c:pt idx="0">
                  <c:v>Inflation (Right Axis)</c:v>
                </c:pt>
              </c:strCache>
            </c:strRef>
          </c:tx>
          <c:spPr>
            <a:ln>
              <a:solidFill>
                <a:schemeClr val="accent6">
                  <a:lumMod val="75000"/>
                </a:schemeClr>
              </a:solidFill>
            </a:ln>
          </c:spPr>
          <c:marker>
            <c:symbol val="none"/>
          </c:marker>
          <c:cat>
            <c:numRef>
              <c:f>'Budget Constraint'!$A$46:$A$58</c:f>
              <c:numCache>
                <c:formatCode>General</c:formatCod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numCache>
            </c:numRef>
          </c:cat>
          <c:val>
            <c:numRef>
              <c:f>'Budget Constraint'!$I$46:$I$56</c:f>
              <c:numCache>
                <c:formatCode>0%</c:formatCode>
                <c:ptCount val="11"/>
                <c:pt idx="0">
                  <c:v>2.8136663795578443E-2</c:v>
                </c:pt>
                <c:pt idx="1">
                  <c:v>9.8575816810946515E-2</c:v>
                </c:pt>
                <c:pt idx="2">
                  <c:v>0.12480935434672102</c:v>
                </c:pt>
                <c:pt idx="3">
                  <c:v>5.966101694915249E-2</c:v>
                </c:pt>
                <c:pt idx="4">
                  <c:v>7.4999999999999956E-2</c:v>
                </c:pt>
                <c:pt idx="5">
                  <c:v>1.8604651162790642E-2</c:v>
                </c:pt>
                <c:pt idx="6">
                  <c:v>7.214611872146115E-2</c:v>
                </c:pt>
                <c:pt idx="7">
                  <c:v>4.9403747870528036E-2</c:v>
                </c:pt>
                <c:pt idx="8">
                  <c:v>3.9772727272727293E-2</c:v>
                </c:pt>
                <c:pt idx="9">
                  <c:v>3.7470725995316201E-2</c:v>
                </c:pt>
                <c:pt idx="10">
                  <c:v>4.2136945071482357E-2</c:v>
                </c:pt>
              </c:numCache>
            </c:numRef>
          </c:val>
          <c:smooth val="0"/>
          <c:extLst>
            <c:ext xmlns:c16="http://schemas.microsoft.com/office/drawing/2014/chart" uri="{C3380CC4-5D6E-409C-BE32-E72D297353CC}">
              <c16:uniqueId val="{00000001-F50D-4B37-9A33-0CB75F32628C}"/>
            </c:ext>
          </c:extLst>
        </c:ser>
        <c:dLbls>
          <c:showLegendKey val="0"/>
          <c:showVal val="0"/>
          <c:showCatName val="0"/>
          <c:showSerName val="0"/>
          <c:showPercent val="0"/>
          <c:showBubbleSize val="0"/>
        </c:dLbls>
        <c:marker val="1"/>
        <c:smooth val="0"/>
        <c:axId val="2130185232"/>
        <c:axId val="2130182480"/>
      </c:lineChart>
      <c:catAx>
        <c:axId val="2130176400"/>
        <c:scaling>
          <c:orientation val="minMax"/>
        </c:scaling>
        <c:delete val="0"/>
        <c:axPos val="b"/>
        <c:numFmt formatCode="General" sourceLinked="1"/>
        <c:majorTickMark val="out"/>
        <c:minorTickMark val="none"/>
        <c:tickLblPos val="nextTo"/>
        <c:crossAx val="2130179312"/>
        <c:crosses val="autoZero"/>
        <c:auto val="1"/>
        <c:lblAlgn val="ctr"/>
        <c:lblOffset val="100"/>
        <c:noMultiLvlLbl val="0"/>
      </c:catAx>
      <c:valAx>
        <c:axId val="2130179312"/>
        <c:scaling>
          <c:orientation val="minMax"/>
        </c:scaling>
        <c:delete val="0"/>
        <c:axPos val="l"/>
        <c:majorGridlines>
          <c:spPr>
            <a:ln>
              <a:solidFill>
                <a:schemeClr val="bg1"/>
              </a:solidFill>
            </a:ln>
          </c:spPr>
        </c:majorGridlines>
        <c:numFmt formatCode="0.0%" sourceLinked="1"/>
        <c:majorTickMark val="out"/>
        <c:minorTickMark val="none"/>
        <c:tickLblPos val="nextTo"/>
        <c:crossAx val="2130176400"/>
        <c:crosses val="autoZero"/>
        <c:crossBetween val="between"/>
      </c:valAx>
      <c:valAx>
        <c:axId val="2130182480"/>
        <c:scaling>
          <c:orientation val="minMax"/>
        </c:scaling>
        <c:delete val="0"/>
        <c:axPos val="r"/>
        <c:numFmt formatCode="0%" sourceLinked="1"/>
        <c:majorTickMark val="out"/>
        <c:minorTickMark val="none"/>
        <c:tickLblPos val="nextTo"/>
        <c:crossAx val="2130185232"/>
        <c:crosses val="max"/>
        <c:crossBetween val="between"/>
      </c:valAx>
      <c:catAx>
        <c:axId val="2130185232"/>
        <c:scaling>
          <c:orientation val="minMax"/>
        </c:scaling>
        <c:delete val="1"/>
        <c:axPos val="b"/>
        <c:numFmt formatCode="General" sourceLinked="1"/>
        <c:majorTickMark val="out"/>
        <c:minorTickMark val="none"/>
        <c:tickLblPos val="nextTo"/>
        <c:crossAx val="2130182480"/>
        <c:crosses val="autoZero"/>
        <c:auto val="1"/>
        <c:lblAlgn val="ctr"/>
        <c:lblOffset val="100"/>
        <c:noMultiLvlLbl val="0"/>
      </c:catAx>
    </c:plotArea>
    <c:legend>
      <c:legendPos val="r"/>
      <c:layout>
        <c:manualLayout>
          <c:xMode val="edge"/>
          <c:yMode val="edge"/>
          <c:x val="0.20113187596078"/>
          <c:y val="4.1977216274330098E-3"/>
          <c:w val="0.61797769279858406"/>
          <c:h val="9.8160338119760202E-2"/>
        </c:manualLayout>
      </c:layout>
      <c:overlay val="0"/>
    </c:legend>
    <c:plotVisOnly val="1"/>
    <c:dispBlanksAs val="gap"/>
    <c:showDLblsOverMax val="0"/>
  </c:chart>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897335107993003E-2"/>
          <c:y val="5.1400554097404502E-2"/>
          <c:w val="0.83721345258382995"/>
          <c:h val="0.89719889180519097"/>
        </c:manualLayout>
      </c:layout>
      <c:lineChart>
        <c:grouping val="standard"/>
        <c:varyColors val="0"/>
        <c:ser>
          <c:idx val="0"/>
          <c:order val="0"/>
          <c:tx>
            <c:v>Primary Deficit/GDP</c:v>
          </c:tx>
          <c:marker>
            <c:symbol val="none"/>
          </c:marker>
          <c:cat>
            <c:numRef>
              <c:f>'Budget Constraint'!$A$32:$A$45</c:f>
              <c:numCache>
                <c:formatCode>General</c:formatCode>
                <c:ptCount val="1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numCache>
            </c:numRef>
          </c:cat>
          <c:val>
            <c:numRef>
              <c:f>'Budget Constraint'!$G$32:$G$45</c:f>
              <c:numCache>
                <c:formatCode>0.0%</c:formatCode>
                <c:ptCount val="14"/>
                <c:pt idx="0">
                  <c:v>-5.1578931272886701E-2</c:v>
                </c:pt>
                <c:pt idx="1">
                  <c:v>-1.836441469103639E-2</c:v>
                </c:pt>
                <c:pt idx="2">
                  <c:v>-1.9856164580878588E-3</c:v>
                </c:pt>
                <c:pt idx="3">
                  <c:v>-1.5787664704104053E-2</c:v>
                </c:pt>
                <c:pt idx="4">
                  <c:v>-2.8648906239615881E-2</c:v>
                </c:pt>
                <c:pt idx="5">
                  <c:v>-1.17093173374683E-2</c:v>
                </c:pt>
                <c:pt idx="6">
                  <c:v>-1.0046038470536353E-2</c:v>
                </c:pt>
                <c:pt idx="7">
                  <c:v>7.4569472001049875E-3</c:v>
                </c:pt>
                <c:pt idx="8">
                  <c:v>-1.7627308929904783E-2</c:v>
                </c:pt>
                <c:pt idx="9">
                  <c:v>2.8575712199309728E-2</c:v>
                </c:pt>
                <c:pt idx="10">
                  <c:v>2.8945353052905715E-2</c:v>
                </c:pt>
                <c:pt idx="11">
                  <c:v>-9.9838576704444661E-3</c:v>
                </c:pt>
                <c:pt idx="12">
                  <c:v>2.0637656403093251E-2</c:v>
                </c:pt>
                <c:pt idx="13">
                  <c:v>-1.062269985414103E-2</c:v>
                </c:pt>
              </c:numCache>
            </c:numRef>
          </c:val>
          <c:smooth val="0"/>
          <c:extLst>
            <c:ext xmlns:c16="http://schemas.microsoft.com/office/drawing/2014/chart" uri="{C3380CC4-5D6E-409C-BE32-E72D297353CC}">
              <c16:uniqueId val="{00000000-8F25-47AD-A5A7-C915BBF60F1F}"/>
            </c:ext>
          </c:extLst>
        </c:ser>
        <c:dLbls>
          <c:showLegendKey val="0"/>
          <c:showVal val="0"/>
          <c:showCatName val="0"/>
          <c:showSerName val="0"/>
          <c:showPercent val="0"/>
          <c:showBubbleSize val="0"/>
        </c:dLbls>
        <c:marker val="1"/>
        <c:smooth val="0"/>
        <c:axId val="2130220144"/>
        <c:axId val="2130223056"/>
      </c:lineChart>
      <c:lineChart>
        <c:grouping val="standard"/>
        <c:varyColors val="0"/>
        <c:ser>
          <c:idx val="1"/>
          <c:order val="1"/>
          <c:tx>
            <c:strRef>
              <c:f>'Budget Constraint'!$I$2</c:f>
              <c:strCache>
                <c:ptCount val="1"/>
                <c:pt idx="0">
                  <c:v>Inflation (Right Axis)</c:v>
                </c:pt>
              </c:strCache>
            </c:strRef>
          </c:tx>
          <c:spPr>
            <a:ln>
              <a:solidFill>
                <a:schemeClr val="accent6">
                  <a:lumMod val="75000"/>
                </a:schemeClr>
              </a:solidFill>
            </a:ln>
          </c:spPr>
          <c:marker>
            <c:symbol val="none"/>
          </c:marker>
          <c:cat>
            <c:numRef>
              <c:f>'Budget Constraint'!$A$32:$A$45</c:f>
              <c:numCache>
                <c:formatCode>General</c:formatCode>
                <c:ptCount val="1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numCache>
            </c:numRef>
          </c:cat>
          <c:val>
            <c:numRef>
              <c:f>'Budget Constraint'!$I$32:$I$45</c:f>
              <c:numCache>
                <c:formatCode>0%</c:formatCode>
                <c:ptCount val="14"/>
                <c:pt idx="0">
                  <c:v>0.44066317626527063</c:v>
                </c:pt>
                <c:pt idx="1">
                  <c:v>0.11811023622047245</c:v>
                </c:pt>
                <c:pt idx="2">
                  <c:v>0.17811484290357549</c:v>
                </c:pt>
                <c:pt idx="3">
                  <c:v>0.20406474158543286</c:v>
                </c:pt>
                <c:pt idx="4">
                  <c:v>0.18276941877339037</c:v>
                </c:pt>
                <c:pt idx="5">
                  <c:v>0.10533159947984405</c:v>
                </c:pt>
                <c:pt idx="6">
                  <c:v>8.1764705882352962E-2</c:v>
                </c:pt>
                <c:pt idx="7">
                  <c:v>6.1990212071778128E-2</c:v>
                </c:pt>
                <c:pt idx="8">
                  <c:v>0.14644137224782372</c:v>
                </c:pt>
                <c:pt idx="9">
                  <c:v>5.4041983028137563E-2</c:v>
                </c:pt>
                <c:pt idx="10">
                  <c:v>8.6440677966101553E-2</c:v>
                </c:pt>
                <c:pt idx="11">
                  <c:v>8.3853354134165503E-2</c:v>
                </c:pt>
                <c:pt idx="12">
                  <c:v>0.14645555955379663</c:v>
                </c:pt>
                <c:pt idx="13">
                  <c:v>9.3220338983050821E-2</c:v>
                </c:pt>
              </c:numCache>
            </c:numRef>
          </c:val>
          <c:smooth val="0"/>
          <c:extLst>
            <c:ext xmlns:c16="http://schemas.microsoft.com/office/drawing/2014/chart" uri="{C3380CC4-5D6E-409C-BE32-E72D297353CC}">
              <c16:uniqueId val="{00000001-8F25-47AD-A5A7-C915BBF60F1F}"/>
            </c:ext>
          </c:extLst>
        </c:ser>
        <c:dLbls>
          <c:showLegendKey val="0"/>
          <c:showVal val="0"/>
          <c:showCatName val="0"/>
          <c:showSerName val="0"/>
          <c:showPercent val="0"/>
          <c:showBubbleSize val="0"/>
        </c:dLbls>
        <c:marker val="1"/>
        <c:smooth val="0"/>
        <c:axId val="2130228976"/>
        <c:axId val="2130226224"/>
      </c:lineChart>
      <c:catAx>
        <c:axId val="2130220144"/>
        <c:scaling>
          <c:orientation val="minMax"/>
        </c:scaling>
        <c:delete val="0"/>
        <c:axPos val="b"/>
        <c:numFmt formatCode="General" sourceLinked="1"/>
        <c:majorTickMark val="out"/>
        <c:minorTickMark val="none"/>
        <c:tickLblPos val="nextTo"/>
        <c:crossAx val="2130223056"/>
        <c:crosses val="autoZero"/>
        <c:auto val="1"/>
        <c:lblAlgn val="ctr"/>
        <c:lblOffset val="100"/>
        <c:noMultiLvlLbl val="0"/>
      </c:catAx>
      <c:valAx>
        <c:axId val="2130223056"/>
        <c:scaling>
          <c:orientation val="minMax"/>
        </c:scaling>
        <c:delete val="0"/>
        <c:axPos val="l"/>
        <c:majorGridlines>
          <c:spPr>
            <a:ln>
              <a:solidFill>
                <a:schemeClr val="bg1"/>
              </a:solidFill>
            </a:ln>
          </c:spPr>
        </c:majorGridlines>
        <c:numFmt formatCode="0.0%" sourceLinked="1"/>
        <c:majorTickMark val="out"/>
        <c:minorTickMark val="none"/>
        <c:tickLblPos val="nextTo"/>
        <c:crossAx val="2130220144"/>
        <c:crosses val="autoZero"/>
        <c:crossBetween val="between"/>
      </c:valAx>
      <c:valAx>
        <c:axId val="2130226224"/>
        <c:scaling>
          <c:orientation val="minMax"/>
        </c:scaling>
        <c:delete val="0"/>
        <c:axPos val="r"/>
        <c:numFmt formatCode="0%" sourceLinked="1"/>
        <c:majorTickMark val="out"/>
        <c:minorTickMark val="none"/>
        <c:tickLblPos val="nextTo"/>
        <c:crossAx val="2130228976"/>
        <c:crosses val="max"/>
        <c:crossBetween val="between"/>
      </c:valAx>
      <c:catAx>
        <c:axId val="2130228976"/>
        <c:scaling>
          <c:orientation val="minMax"/>
        </c:scaling>
        <c:delete val="1"/>
        <c:axPos val="b"/>
        <c:numFmt formatCode="General" sourceLinked="1"/>
        <c:majorTickMark val="out"/>
        <c:minorTickMark val="none"/>
        <c:tickLblPos val="nextTo"/>
        <c:crossAx val="2130226224"/>
        <c:crosses val="autoZero"/>
        <c:auto val="1"/>
        <c:lblAlgn val="ctr"/>
        <c:lblOffset val="100"/>
        <c:noMultiLvlLbl val="0"/>
      </c:catAx>
    </c:plotArea>
    <c:legend>
      <c:legendPos val="r"/>
      <c:layout>
        <c:manualLayout>
          <c:xMode val="edge"/>
          <c:yMode val="edge"/>
          <c:x val="0.19105092855460501"/>
          <c:y val="8.8353287531067002E-3"/>
          <c:w val="0.58834251805753601"/>
          <c:h val="9.8160338119760202E-2"/>
        </c:manualLayout>
      </c:layout>
      <c:overlay val="0"/>
    </c:legend>
    <c:plotVisOnly val="1"/>
    <c:dispBlanksAs val="gap"/>
    <c:showDLblsOverMax val="0"/>
  </c:chart>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897335107993003E-2"/>
          <c:y val="5.1400554097404502E-2"/>
          <c:w val="0.83721345258382995"/>
          <c:h val="0.89719889180519097"/>
        </c:manualLayout>
      </c:layout>
      <c:lineChart>
        <c:grouping val="standard"/>
        <c:varyColors val="0"/>
        <c:ser>
          <c:idx val="0"/>
          <c:order val="0"/>
          <c:tx>
            <c:v>External Public Debt asjusted by RER/GDP</c:v>
          </c:tx>
          <c:marker>
            <c:symbol val="none"/>
          </c:marker>
          <c:cat>
            <c:numRef>
              <c:f>'Budget Constraint'!$A$4:$A$15</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'Budget Constraint'!$B$4:$B$15</c:f>
              <c:numCache>
                <c:formatCode>0.00%</c:formatCode>
                <c:ptCount val="12"/>
                <c:pt idx="0">
                  <c:v>-3.2507398180374458E-3</c:v>
                </c:pt>
                <c:pt idx="1">
                  <c:v>-4.2398145169607465E-3</c:v>
                </c:pt>
                <c:pt idx="2">
                  <c:v>3.3328193246151411E-3</c:v>
                </c:pt>
                <c:pt idx="3">
                  <c:v>1.1634015183941568E-2</c:v>
                </c:pt>
                <c:pt idx="4">
                  <c:v>2.0660812411326945E-2</c:v>
                </c:pt>
                <c:pt idx="5">
                  <c:v>4.3893401200626125E-2</c:v>
                </c:pt>
                <c:pt idx="6">
                  <c:v>3.1531179727712466E-2</c:v>
                </c:pt>
                <c:pt idx="7">
                  <c:v>3.1789324234595406E-2</c:v>
                </c:pt>
                <c:pt idx="8">
                  <c:v>2.7907820631068614E-2</c:v>
                </c:pt>
                <c:pt idx="9">
                  <c:v>1.3342664871368592E-3</c:v>
                </c:pt>
                <c:pt idx="10">
                  <c:v>-1.6007520537650838E-2</c:v>
                </c:pt>
                <c:pt idx="11">
                  <c:v>-2.913930763329653E-2</c:v>
                </c:pt>
              </c:numCache>
            </c:numRef>
          </c:val>
          <c:smooth val="0"/>
          <c:extLst>
            <c:ext xmlns:c16="http://schemas.microsoft.com/office/drawing/2014/chart" uri="{C3380CC4-5D6E-409C-BE32-E72D297353CC}">
              <c16:uniqueId val="{00000000-3419-43B5-AC4C-EE93B3C76BAA}"/>
            </c:ext>
          </c:extLst>
        </c:ser>
        <c:ser>
          <c:idx val="1"/>
          <c:order val="1"/>
          <c:tx>
            <c:v>Seignorage (Right Axis)</c:v>
          </c:tx>
          <c:spPr>
            <a:ln>
              <a:solidFill>
                <a:schemeClr val="accent6">
                  <a:lumMod val="75000"/>
                </a:schemeClr>
              </a:solidFill>
            </a:ln>
          </c:spPr>
          <c:marker>
            <c:symbol val="none"/>
          </c:marker>
          <c:cat>
            <c:numRef>
              <c:f>'Budget Constraint'!$A$4:$A$15</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'Budget Constraint'!$D$4:$D$15</c:f>
              <c:numCache>
                <c:formatCode>0.000%</c:formatCode>
                <c:ptCount val="12"/>
                <c:pt idx="0">
                  <c:v>3.870596315010924E-3</c:v>
                </c:pt>
                <c:pt idx="1">
                  <c:v>4.2910526026393109E-3</c:v>
                </c:pt>
                <c:pt idx="2">
                  <c:v>7.1143177875160404E-3</c:v>
                </c:pt>
                <c:pt idx="3">
                  <c:v>8.8493676752784949E-3</c:v>
                </c:pt>
                <c:pt idx="4">
                  <c:v>3.2351657460736754E-3</c:v>
                </c:pt>
                <c:pt idx="5">
                  <c:v>8.7670254488262708E-3</c:v>
                </c:pt>
                <c:pt idx="6">
                  <c:v>6.9501727944649636E-3</c:v>
                </c:pt>
                <c:pt idx="7">
                  <c:v>4.5587874943887382E-3</c:v>
                </c:pt>
                <c:pt idx="8">
                  <c:v>7.6404901472605048E-3</c:v>
                </c:pt>
                <c:pt idx="9">
                  <c:v>1.2871769898893996E-2</c:v>
                </c:pt>
                <c:pt idx="10">
                  <c:v>1.7080909762012476E-2</c:v>
                </c:pt>
                <c:pt idx="11">
                  <c:v>2.4089246542964109E-2</c:v>
                </c:pt>
              </c:numCache>
            </c:numRef>
          </c:val>
          <c:smooth val="0"/>
          <c:extLst>
            <c:ext xmlns:c16="http://schemas.microsoft.com/office/drawing/2014/chart" uri="{C3380CC4-5D6E-409C-BE32-E72D297353CC}">
              <c16:uniqueId val="{00000001-3419-43B5-AC4C-EE93B3C76BAA}"/>
            </c:ext>
          </c:extLst>
        </c:ser>
        <c:ser>
          <c:idx val="2"/>
          <c:order val="2"/>
          <c:tx>
            <c:v>Monetary Base/GDP (Right Axis)</c:v>
          </c:tx>
          <c:marker>
            <c:symbol val="none"/>
          </c:marker>
          <c:cat>
            <c:numRef>
              <c:f>'Budget Constraint'!$A$4:$A$15</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'Budget Constraint'!$C$4:$C$15</c:f>
              <c:numCache>
                <c:formatCode>0%</c:formatCode>
                <c:ptCount val="12"/>
                <c:pt idx="0">
                  <c:v>-4.1620856553350322E-3</c:v>
                </c:pt>
                <c:pt idx="1">
                  <c:v>1.0408721237318772E-2</c:v>
                </c:pt>
                <c:pt idx="2">
                  <c:v>1.2258669631175181E-2</c:v>
                </c:pt>
                <c:pt idx="3">
                  <c:v>5.6339370638831543E-3</c:v>
                </c:pt>
                <c:pt idx="4">
                  <c:v>-1.5464032586697263E-3</c:v>
                </c:pt>
                <c:pt idx="5">
                  <c:v>3.1272115559478342E-3</c:v>
                </c:pt>
                <c:pt idx="6">
                  <c:v>6.0283559832402384E-3</c:v>
                </c:pt>
                <c:pt idx="7">
                  <c:v>-3.8711649803380571E-3</c:v>
                </c:pt>
                <c:pt idx="8">
                  <c:v>1.4818975768688347E-2</c:v>
                </c:pt>
                <c:pt idx="9">
                  <c:v>3.9535807323587413E-4</c:v>
                </c:pt>
                <c:pt idx="10">
                  <c:v>1.2211151225587316E-2</c:v>
                </c:pt>
                <c:pt idx="11">
                  <c:v>-1.1559127513697531E-3</c:v>
                </c:pt>
              </c:numCache>
            </c:numRef>
          </c:val>
          <c:smooth val="0"/>
          <c:extLst>
            <c:ext xmlns:c16="http://schemas.microsoft.com/office/drawing/2014/chart" uri="{C3380CC4-5D6E-409C-BE32-E72D297353CC}">
              <c16:uniqueId val="{00000002-3419-43B5-AC4C-EE93B3C76BAA}"/>
            </c:ext>
          </c:extLst>
        </c:ser>
        <c:dLbls>
          <c:showLegendKey val="0"/>
          <c:showVal val="0"/>
          <c:showCatName val="0"/>
          <c:showSerName val="0"/>
          <c:showPercent val="0"/>
          <c:showBubbleSize val="0"/>
        </c:dLbls>
        <c:smooth val="0"/>
        <c:axId val="2130267104"/>
        <c:axId val="2130270080"/>
      </c:lineChart>
      <c:catAx>
        <c:axId val="2130267104"/>
        <c:scaling>
          <c:orientation val="minMax"/>
        </c:scaling>
        <c:delete val="0"/>
        <c:axPos val="b"/>
        <c:numFmt formatCode="General" sourceLinked="1"/>
        <c:majorTickMark val="out"/>
        <c:minorTickMark val="none"/>
        <c:tickLblPos val="nextTo"/>
        <c:crossAx val="2130270080"/>
        <c:crosses val="autoZero"/>
        <c:auto val="1"/>
        <c:lblAlgn val="ctr"/>
        <c:lblOffset val="100"/>
        <c:noMultiLvlLbl val="0"/>
      </c:catAx>
      <c:valAx>
        <c:axId val="2130270080"/>
        <c:scaling>
          <c:orientation val="minMax"/>
        </c:scaling>
        <c:delete val="0"/>
        <c:axPos val="l"/>
        <c:majorGridlines>
          <c:spPr>
            <a:ln>
              <a:solidFill>
                <a:schemeClr val="bg1"/>
              </a:solidFill>
            </a:ln>
          </c:spPr>
        </c:majorGridlines>
        <c:numFmt formatCode="0.00%" sourceLinked="1"/>
        <c:majorTickMark val="out"/>
        <c:minorTickMark val="none"/>
        <c:tickLblPos val="nextTo"/>
        <c:crossAx val="2130267104"/>
        <c:crosses val="autoZero"/>
        <c:crossBetween val="between"/>
      </c:valAx>
    </c:plotArea>
    <c:legend>
      <c:legendPos val="r"/>
      <c:layout>
        <c:manualLayout>
          <c:xMode val="edge"/>
          <c:yMode val="edge"/>
          <c:x val="7.9306071871127704E-2"/>
          <c:y val="1.8125192203918901E-2"/>
          <c:w val="0.49919366956453898"/>
          <c:h val="0.34258535304596099"/>
        </c:manualLayout>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0066300306211702E-2"/>
          <c:y val="5.0925925925925902E-2"/>
          <c:w val="0.90127583661417299"/>
          <c:h val="0.74734324876057201"/>
        </c:manualLayout>
      </c:layout>
      <c:lineChart>
        <c:grouping val="standard"/>
        <c:varyColors val="0"/>
        <c:ser>
          <c:idx val="0"/>
          <c:order val="0"/>
          <c:spPr>
            <a:ln>
              <a:solidFill>
                <a:srgbClr val="00CCFF"/>
              </a:solidFill>
            </a:ln>
          </c:spPr>
          <c:marker>
            <c:symbol val="none"/>
          </c:marker>
          <c:cat>
            <c:numRef>
              <c:f>Debt!$B$6:$B$60</c:f>
              <c:numCache>
                <c:formatCode>General</c:formatCode>
                <c:ptCount val="55"/>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numCache>
            </c:numRef>
          </c:cat>
          <c:val>
            <c:numRef>
              <c:f>Debt!$P$6:$P$60</c:f>
              <c:numCache>
                <c:formatCode>0.0%</c:formatCode>
                <c:ptCount val="55"/>
                <c:pt idx="0">
                  <c:v>8.5791516452142405E-2</c:v>
                </c:pt>
                <c:pt idx="1">
                  <c:v>8.2770558203182298E-2</c:v>
                </c:pt>
                <c:pt idx="2">
                  <c:v>9.0607090589936365E-2</c:v>
                </c:pt>
                <c:pt idx="3">
                  <c:v>0.10586428453141514</c:v>
                </c:pt>
                <c:pt idx="4">
                  <c:v>0.12495778021898989</c:v>
                </c:pt>
                <c:pt idx="5">
                  <c:v>0.16782141078915228</c:v>
                </c:pt>
                <c:pt idx="6">
                  <c:v>0.20228372800591252</c:v>
                </c:pt>
                <c:pt idx="7">
                  <c:v>0.22742266652484758</c:v>
                </c:pt>
                <c:pt idx="8">
                  <c:v>0.24891586975268448</c:v>
                </c:pt>
                <c:pt idx="9">
                  <c:v>0.25990631479298815</c:v>
                </c:pt>
                <c:pt idx="10">
                  <c:v>0.25842841918058707</c:v>
                </c:pt>
                <c:pt idx="11">
                  <c:v>0.24965087606767783</c:v>
                </c:pt>
                <c:pt idx="12">
                  <c:v>0.23883062893248616</c:v>
                </c:pt>
                <c:pt idx="13">
                  <c:v>0.22333041357649919</c:v>
                </c:pt>
                <c:pt idx="14">
                  <c:v>0.27950690417255519</c:v>
                </c:pt>
                <c:pt idx="15">
                  <c:v>0.2718769255010659</c:v>
                </c:pt>
                <c:pt idx="16">
                  <c:v>0.29541521137580817</c:v>
                </c:pt>
                <c:pt idx="17">
                  <c:v>0.24722161428143258</c:v>
                </c:pt>
                <c:pt idx="18">
                  <c:v>0.23583575709969665</c:v>
                </c:pt>
                <c:pt idx="19">
                  <c:v>0.19990842118136992</c:v>
                </c:pt>
                <c:pt idx="20">
                  <c:v>0.24972845151780448</c:v>
                </c:pt>
                <c:pt idx="21">
                  <c:v>0.31802275031250576</c:v>
                </c:pt>
                <c:pt idx="22">
                  <c:v>0.35849961541597458</c:v>
                </c:pt>
                <c:pt idx="23">
                  <c:v>0.36640282081602493</c:v>
                </c:pt>
                <c:pt idx="24">
                  <c:v>0.38741197626053664</c:v>
                </c:pt>
                <c:pt idx="25">
                  <c:v>0.41160171969561671</c:v>
                </c:pt>
                <c:pt idx="26">
                  <c:v>0.37271863141057365</c:v>
                </c:pt>
                <c:pt idx="27">
                  <c:v>0.36930612253228495</c:v>
                </c:pt>
                <c:pt idx="28">
                  <c:v>0.2716886200769813</c:v>
                </c:pt>
                <c:pt idx="29">
                  <c:v>0.24359551233861651</c:v>
                </c:pt>
                <c:pt idx="30">
                  <c:v>0.18231310720966051</c:v>
                </c:pt>
                <c:pt idx="31">
                  <c:v>0.16678933083441014</c:v>
                </c:pt>
                <c:pt idx="32">
                  <c:v>0.16106969123635326</c:v>
                </c:pt>
                <c:pt idx="33">
                  <c:v>0.16805522811995399</c:v>
                </c:pt>
                <c:pt idx="34">
                  <c:v>0.16108400252341348</c:v>
                </c:pt>
                <c:pt idx="35">
                  <c:v>0.15522589811478346</c:v>
                </c:pt>
                <c:pt idx="36">
                  <c:v>0.17373664513295192</c:v>
                </c:pt>
                <c:pt idx="37">
                  <c:v>0.23271701680926732</c:v>
                </c:pt>
                <c:pt idx="38">
                  <c:v>0.24481946093775037</c:v>
                </c:pt>
                <c:pt idx="39">
                  <c:v>0.22991929832414998</c:v>
                </c:pt>
                <c:pt idx="40">
                  <c:v>0.24719734722004863</c:v>
                </c:pt>
                <c:pt idx="41">
                  <c:v>0.25401926241931982</c:v>
                </c:pt>
                <c:pt idx="42">
                  <c:v>0.22678736642807878</c:v>
                </c:pt>
                <c:pt idx="43">
                  <c:v>0.20216837248837155</c:v>
                </c:pt>
                <c:pt idx="44">
                  <c:v>0.17967500937772518</c:v>
                </c:pt>
                <c:pt idx="45">
                  <c:v>0.1669755747257386</c:v>
                </c:pt>
                <c:pt idx="46">
                  <c:v>0.14922841523348879</c:v>
                </c:pt>
                <c:pt idx="47">
                  <c:v>0.15740893108824924</c:v>
                </c:pt>
                <c:pt idx="48">
                  <c:v>0.13924685686778496</c:v>
                </c:pt>
                <c:pt idx="49">
                  <c:v>0.12565880235176433</c:v>
                </c:pt>
                <c:pt idx="50">
                  <c:v>0.11916901091581834</c:v>
                </c:pt>
                <c:pt idx="51">
                  <c:v>0.12316363456837566</c:v>
                </c:pt>
                <c:pt idx="52">
                  <c:v>0.15919018880513405</c:v>
                </c:pt>
                <c:pt idx="53">
                  <c:v>0.16908515250614531</c:v>
                </c:pt>
                <c:pt idx="54">
                  <c:v>0.20204847843078955</c:v>
                </c:pt>
              </c:numCache>
            </c:numRef>
          </c:val>
          <c:smooth val="0"/>
          <c:extLst>
            <c:ext xmlns:c16="http://schemas.microsoft.com/office/drawing/2014/chart" uri="{C3380CC4-5D6E-409C-BE32-E72D297353CC}">
              <c16:uniqueId val="{00000000-DDE0-4FAC-AEF7-F02825D421CC}"/>
            </c:ext>
          </c:extLst>
        </c:ser>
        <c:ser>
          <c:idx val="1"/>
          <c:order val="1"/>
          <c:spPr>
            <a:ln>
              <a:solidFill>
                <a:sysClr val="windowText" lastClr="000000"/>
              </a:solidFill>
            </a:ln>
          </c:spPr>
          <c:marker>
            <c:symbol val="none"/>
          </c:marker>
          <c:cat>
            <c:numRef>
              <c:f>Debt!$B$6:$B$60</c:f>
              <c:numCache>
                <c:formatCode>General</c:formatCode>
                <c:ptCount val="55"/>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numCache>
            </c:numRef>
          </c:cat>
          <c:val>
            <c:numRef>
              <c:f>Debt!$L$6:$L$60</c:f>
              <c:numCache>
                <c:formatCode>0.00%</c:formatCode>
                <c:ptCount val="55"/>
                <c:pt idx="0">
                  <c:v>9.3847716350910618E-2</c:v>
                </c:pt>
                <c:pt idx="1">
                  <c:v>9.0668195736650942E-2</c:v>
                </c:pt>
                <c:pt idx="2">
                  <c:v>9.961488367532588E-2</c:v>
                </c:pt>
                <c:pt idx="3">
                  <c:v>0.11630089418196556</c:v>
                </c:pt>
                <c:pt idx="4">
                  <c:v>0.13601668226867225</c:v>
                </c:pt>
                <c:pt idx="5">
                  <c:v>0.18245010315352364</c:v>
                </c:pt>
                <c:pt idx="6">
                  <c:v>0.21804111744833019</c:v>
                </c:pt>
                <c:pt idx="7">
                  <c:v>0.24476717716631571</c:v>
                </c:pt>
                <c:pt idx="8">
                  <c:v>0.26893021197329603</c:v>
                </c:pt>
                <c:pt idx="9">
                  <c:v>0.28084226888792246</c:v>
                </c:pt>
                <c:pt idx="10">
                  <c:v>0.27934105334151865</c:v>
                </c:pt>
                <c:pt idx="11">
                  <c:v>0.27115955960292409</c:v>
                </c:pt>
                <c:pt idx="12">
                  <c:v>0.26186532923595468</c:v>
                </c:pt>
                <c:pt idx="13">
                  <c:v>0.24703504915094637</c:v>
                </c:pt>
                <c:pt idx="14">
                  <c:v>0.30200804003617965</c:v>
                </c:pt>
                <c:pt idx="15">
                  <c:v>0.29519315611366054</c:v>
                </c:pt>
                <c:pt idx="16">
                  <c:v>0.31532574489105569</c:v>
                </c:pt>
                <c:pt idx="17">
                  <c:v>0.28224170440392976</c:v>
                </c:pt>
                <c:pt idx="18">
                  <c:v>0.27475028539823143</c:v>
                </c:pt>
                <c:pt idx="19">
                  <c:v>0.24781414519165837</c:v>
                </c:pt>
                <c:pt idx="20">
                  <c:v>0.29828260425093234</c:v>
                </c:pt>
                <c:pt idx="21">
                  <c:v>0.39620608057283979</c:v>
                </c:pt>
                <c:pt idx="22">
                  <c:v>0.45059137295289931</c:v>
                </c:pt>
                <c:pt idx="23">
                  <c:v>0.46442965874178443</c:v>
                </c:pt>
                <c:pt idx="24">
                  <c:v>0.49907647306724229</c:v>
                </c:pt>
                <c:pt idx="25">
                  <c:v>0.53300738121756175</c:v>
                </c:pt>
                <c:pt idx="26">
                  <c:v>0.47791566850296974</c:v>
                </c:pt>
                <c:pt idx="27">
                  <c:v>0.47311980687544841</c:v>
                </c:pt>
                <c:pt idx="28">
                  <c:v>0.36571651570946662</c:v>
                </c:pt>
                <c:pt idx="29">
                  <c:v>0.33432384539350407</c:v>
                </c:pt>
                <c:pt idx="30">
                  <c:v>0.26828611255559798</c:v>
                </c:pt>
                <c:pt idx="31">
                  <c:v>0.2518805711248151</c:v>
                </c:pt>
                <c:pt idx="32">
                  <c:v>0.24626032494789352</c:v>
                </c:pt>
                <c:pt idx="33">
                  <c:v>0.25277267486181026</c:v>
                </c:pt>
                <c:pt idx="34">
                  <c:v>0.24620866994863322</c:v>
                </c:pt>
                <c:pt idx="35">
                  <c:v>0.24031070548715822</c:v>
                </c:pt>
                <c:pt idx="36">
                  <c:v>0.25990140493936703</c:v>
                </c:pt>
                <c:pt idx="37">
                  <c:v>0.32897469550283692</c:v>
                </c:pt>
                <c:pt idx="38">
                  <c:v>0.34333998496548274</c:v>
                </c:pt>
                <c:pt idx="39">
                  <c:v>0.32116849349710352</c:v>
                </c:pt>
                <c:pt idx="40">
                  <c:v>0.35443386963869411</c:v>
                </c:pt>
                <c:pt idx="41">
                  <c:v>0.36498027170450292</c:v>
                </c:pt>
                <c:pt idx="42">
                  <c:v>0.32125908456265101</c:v>
                </c:pt>
                <c:pt idx="43">
                  <c:v>0.28455976257096649</c:v>
                </c:pt>
                <c:pt idx="44">
                  <c:v>0.25792609749720147</c:v>
                </c:pt>
                <c:pt idx="45">
                  <c:v>0.24448892727670579</c:v>
                </c:pt>
                <c:pt idx="46">
                  <c:v>0.22556445600720193</c:v>
                </c:pt>
                <c:pt idx="47">
                  <c:v>0.23346200625259816</c:v>
                </c:pt>
                <c:pt idx="48">
                  <c:v>0.21655073002404249</c:v>
                </c:pt>
                <c:pt idx="49">
                  <c:v>0.20424422772521683</c:v>
                </c:pt>
                <c:pt idx="50">
                  <c:v>0.19865986799640914</c:v>
                </c:pt>
                <c:pt idx="51">
                  <c:v>0.20230470929804154</c:v>
                </c:pt>
                <c:pt idx="52">
                  <c:v>0.23463942148925143</c:v>
                </c:pt>
                <c:pt idx="53">
                  <c:v>0.24536306428447557</c:v>
                </c:pt>
                <c:pt idx="54">
                  <c:v>0.27853080147593889</c:v>
                </c:pt>
              </c:numCache>
            </c:numRef>
          </c:val>
          <c:smooth val="0"/>
          <c:extLst>
            <c:ext xmlns:c16="http://schemas.microsoft.com/office/drawing/2014/chart" uri="{C3380CC4-5D6E-409C-BE32-E72D297353CC}">
              <c16:uniqueId val="{00000001-DDE0-4FAC-AEF7-F02825D421CC}"/>
            </c:ext>
          </c:extLst>
        </c:ser>
        <c:dLbls>
          <c:showLegendKey val="0"/>
          <c:showVal val="0"/>
          <c:showCatName val="0"/>
          <c:showSerName val="0"/>
          <c:showPercent val="0"/>
          <c:showBubbleSize val="0"/>
        </c:dLbls>
        <c:smooth val="0"/>
        <c:axId val="2125589152"/>
        <c:axId val="2125586240"/>
      </c:lineChart>
      <c:catAx>
        <c:axId val="2125589152"/>
        <c:scaling>
          <c:orientation val="minMax"/>
        </c:scaling>
        <c:delete val="0"/>
        <c:axPos val="b"/>
        <c:numFmt formatCode="General" sourceLinked="1"/>
        <c:majorTickMark val="out"/>
        <c:minorTickMark val="none"/>
        <c:tickLblPos val="low"/>
        <c:txPr>
          <a:bodyPr rot="-5400000" vert="horz"/>
          <a:lstStyle/>
          <a:p>
            <a:pPr>
              <a:defRPr/>
            </a:pPr>
            <a:endParaRPr lang="en-US"/>
          </a:p>
        </c:txPr>
        <c:crossAx val="2125586240"/>
        <c:crosses val="autoZero"/>
        <c:auto val="1"/>
        <c:lblAlgn val="ctr"/>
        <c:lblOffset val="100"/>
        <c:noMultiLvlLbl val="0"/>
      </c:catAx>
      <c:valAx>
        <c:axId val="2125586240"/>
        <c:scaling>
          <c:orientation val="minMax"/>
        </c:scaling>
        <c:delete val="0"/>
        <c:axPos val="l"/>
        <c:title>
          <c:tx>
            <c:rich>
              <a:bodyPr/>
              <a:lstStyle/>
              <a:p>
                <a:pPr>
                  <a:defRPr/>
                </a:pPr>
                <a:r>
                  <a:rPr lang="es-AR"/>
                  <a:t>Percent of GDP</a:t>
                </a:r>
              </a:p>
            </c:rich>
          </c:tx>
          <c:overlay val="0"/>
        </c:title>
        <c:numFmt formatCode="0%" sourceLinked="0"/>
        <c:majorTickMark val="out"/>
        <c:minorTickMark val="none"/>
        <c:tickLblPos val="nextTo"/>
        <c:crossAx val="2125589152"/>
        <c:crosses val="autoZero"/>
        <c:crossBetween val="between"/>
      </c:valAx>
    </c:plotArea>
    <c:legend>
      <c:legendPos val="b"/>
      <c:overlay val="0"/>
    </c:legend>
    <c:plotVisOnly val="1"/>
    <c:dispBlanksAs val="gap"/>
    <c:showDLblsOverMax val="0"/>
  </c:chart>
  <c:spPr>
    <a:ln>
      <a:noFill/>
    </a:ln>
  </c:spPr>
  <c:txPr>
    <a:bodyPr/>
    <a:lstStyle/>
    <a:p>
      <a:pPr>
        <a:defRPr sz="1000">
          <a:latin typeface="Humanst521 BT" panose="020B0602020204020204" pitchFamily="34" charset="0"/>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897335107993003E-2"/>
          <c:y val="5.1400554097404502E-2"/>
          <c:w val="0.89669291338582702"/>
          <c:h val="0.89719889180519097"/>
        </c:manualLayout>
      </c:layout>
      <c:lineChart>
        <c:grouping val="standard"/>
        <c:varyColors val="0"/>
        <c:ser>
          <c:idx val="0"/>
          <c:order val="0"/>
          <c:tx>
            <c:v>External Public Debt asjusted by RER/GDP</c:v>
          </c:tx>
          <c:marker>
            <c:symbol val="none"/>
          </c:marker>
          <c:cat>
            <c:numRef>
              <c:f>'Budget Constraint'!$A$16:$A$31</c:f>
              <c:numCache>
                <c:formatCode>General</c:formatCode>
                <c:ptCount val="1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numCache>
            </c:numRef>
          </c:cat>
          <c:val>
            <c:numRef>
              <c:f>'Budget Constraint'!$B$16:$B$31</c:f>
              <c:numCache>
                <c:formatCode>0.00%</c:formatCode>
                <c:ptCount val="16"/>
                <c:pt idx="0">
                  <c:v>-2.6689183398133864E-2</c:v>
                </c:pt>
                <c:pt idx="1">
                  <c:v>3.619896470587719E-3</c:v>
                </c:pt>
                <c:pt idx="2">
                  <c:v>6.0875459663085552E-2</c:v>
                </c:pt>
                <c:pt idx="3">
                  <c:v>-1.9181208895588553E-2</c:v>
                </c:pt>
                <c:pt idx="4">
                  <c:v>-1.3675393291406601E-3</c:v>
                </c:pt>
                <c:pt idx="5">
                  <c:v>-7.507655230655233E-2</c:v>
                </c:pt>
                <c:pt idx="6">
                  <c:v>-9.8177818565296504E-3</c:v>
                </c:pt>
                <c:pt idx="7">
                  <c:v>-1.8011027973340643E-2</c:v>
                </c:pt>
                <c:pt idx="8">
                  <c:v>2.8978886617607502E-2</c:v>
                </c:pt>
                <c:pt idx="9">
                  <c:v>2.4257990111203359E-2</c:v>
                </c:pt>
                <c:pt idx="10">
                  <c:v>0.11777635675727291</c:v>
                </c:pt>
                <c:pt idx="11">
                  <c:v>-4.6370649623670046E-2</c:v>
                </c:pt>
                <c:pt idx="12">
                  <c:v>3.9638645292269237E-2</c:v>
                </c:pt>
                <c:pt idx="13">
                  <c:v>-6.2158663729859315E-2</c:v>
                </c:pt>
                <c:pt idx="14">
                  <c:v>-2.6444724317009061E-3</c:v>
                </c:pt>
                <c:pt idx="15">
                  <c:v>0.32678831180953738</c:v>
                </c:pt>
              </c:numCache>
            </c:numRef>
          </c:val>
          <c:smooth val="0"/>
          <c:extLst>
            <c:ext xmlns:c16="http://schemas.microsoft.com/office/drawing/2014/chart" uri="{C3380CC4-5D6E-409C-BE32-E72D297353CC}">
              <c16:uniqueId val="{00000000-35C5-4FC2-962B-FC4057E84075}"/>
            </c:ext>
          </c:extLst>
        </c:ser>
        <c:ser>
          <c:idx val="1"/>
          <c:order val="1"/>
          <c:tx>
            <c:v>Seignorage (Right Axis)</c:v>
          </c:tx>
          <c:spPr>
            <a:ln>
              <a:solidFill>
                <a:schemeClr val="accent6">
                  <a:lumMod val="75000"/>
                </a:schemeClr>
              </a:solidFill>
            </a:ln>
          </c:spPr>
          <c:marker>
            <c:symbol val="none"/>
          </c:marker>
          <c:cat>
            <c:numRef>
              <c:f>'Budget Constraint'!$A$16:$A$31</c:f>
              <c:numCache>
                <c:formatCode>General</c:formatCode>
                <c:ptCount val="1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numCache>
            </c:numRef>
          </c:cat>
          <c:val>
            <c:numRef>
              <c:f>'Budget Constraint'!$D$16:$D$31</c:f>
              <c:numCache>
                <c:formatCode>0.000%</c:formatCode>
                <c:ptCount val="16"/>
                <c:pt idx="0">
                  <c:v>3.1694959776108568E-2</c:v>
                </c:pt>
                <c:pt idx="1">
                  <c:v>1.5874746496011925E-2</c:v>
                </c:pt>
                <c:pt idx="2">
                  <c:v>1.2388097985459453E-2</c:v>
                </c:pt>
                <c:pt idx="3">
                  <c:v>2.3361293333512764E-2</c:v>
                </c:pt>
                <c:pt idx="4">
                  <c:v>3.2556980949628236E-2</c:v>
                </c:pt>
                <c:pt idx="5">
                  <c:v>5.1088066754650122E-2</c:v>
                </c:pt>
                <c:pt idx="6">
                  <c:v>2.9551219734806088E-2</c:v>
                </c:pt>
                <c:pt idx="7">
                  <c:v>1.9694011254774515E-2</c:v>
                </c:pt>
                <c:pt idx="8">
                  <c:v>8.2048398921169309E-3</c:v>
                </c:pt>
                <c:pt idx="9">
                  <c:v>1.07503125681504E-2</c:v>
                </c:pt>
                <c:pt idx="10">
                  <c:v>3.1923658099887682E-2</c:v>
                </c:pt>
                <c:pt idx="11">
                  <c:v>2.6978993631846974E-2</c:v>
                </c:pt>
                <c:pt idx="12">
                  <c:v>2.5514610097380493E-2</c:v>
                </c:pt>
                <c:pt idx="13">
                  <c:v>3.3452563935403107E-2</c:v>
                </c:pt>
                <c:pt idx="14" formatCode="0%">
                  <c:v>2.189957420681448E-2</c:v>
                </c:pt>
                <c:pt idx="15" formatCode="0%">
                  <c:v>2.8147997829765674E-2</c:v>
                </c:pt>
              </c:numCache>
            </c:numRef>
          </c:val>
          <c:smooth val="0"/>
          <c:extLst>
            <c:ext xmlns:c16="http://schemas.microsoft.com/office/drawing/2014/chart" uri="{C3380CC4-5D6E-409C-BE32-E72D297353CC}">
              <c16:uniqueId val="{00000001-35C5-4FC2-962B-FC4057E84075}"/>
            </c:ext>
          </c:extLst>
        </c:ser>
        <c:ser>
          <c:idx val="2"/>
          <c:order val="2"/>
          <c:tx>
            <c:v>Monetary Base/GDP (Right Axis)</c:v>
          </c:tx>
          <c:marker>
            <c:symbol val="none"/>
          </c:marker>
          <c:cat>
            <c:numRef>
              <c:f>'Budget Constraint'!$A$16:$A$31</c:f>
              <c:numCache>
                <c:formatCode>General</c:formatCode>
                <c:ptCount val="1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numCache>
            </c:numRef>
          </c:cat>
          <c:val>
            <c:numRef>
              <c:f>'Budget Constraint'!$C$16:$C$31</c:f>
              <c:numCache>
                <c:formatCode>0%</c:formatCode>
                <c:ptCount val="16"/>
                <c:pt idx="0">
                  <c:v>-1.583034140684722E-2</c:v>
                </c:pt>
                <c:pt idx="1">
                  <c:v>9.2330296668436396E-3</c:v>
                </c:pt>
                <c:pt idx="2">
                  <c:v>6.2422654587475368E-3</c:v>
                </c:pt>
                <c:pt idx="3">
                  <c:v>8.1595063159942971E-3</c:v>
                </c:pt>
                <c:pt idx="4">
                  <c:v>1.1762029541630692E-2</c:v>
                </c:pt>
                <c:pt idx="5">
                  <c:v>-1.6429730334179521E-2</c:v>
                </c:pt>
                <c:pt idx="6">
                  <c:v>-4.3775656447219424E-3</c:v>
                </c:pt>
                <c:pt idx="7">
                  <c:v>-9.1012260023319996E-3</c:v>
                </c:pt>
                <c:pt idx="8">
                  <c:v>-7.9667982739301535E-3</c:v>
                </c:pt>
                <c:pt idx="9">
                  <c:v>1.54841810136264E-2</c:v>
                </c:pt>
                <c:pt idx="10">
                  <c:v>-6.1264056544320239E-3</c:v>
                </c:pt>
                <c:pt idx="11">
                  <c:v>-1.1420453533956806E-2</c:v>
                </c:pt>
                <c:pt idx="12">
                  <c:v>3.2290533242065184E-3</c:v>
                </c:pt>
                <c:pt idx="13">
                  <c:v>6.633658452361163E-4</c:v>
                </c:pt>
                <c:pt idx="14">
                  <c:v>-1.0351083663226207E-2</c:v>
                </c:pt>
                <c:pt idx="15">
                  <c:v>-1.0542688488984847E-2</c:v>
                </c:pt>
              </c:numCache>
            </c:numRef>
          </c:val>
          <c:smooth val="0"/>
          <c:extLst>
            <c:ext xmlns:c16="http://schemas.microsoft.com/office/drawing/2014/chart" uri="{C3380CC4-5D6E-409C-BE32-E72D297353CC}">
              <c16:uniqueId val="{00000002-35C5-4FC2-962B-FC4057E84075}"/>
            </c:ext>
          </c:extLst>
        </c:ser>
        <c:dLbls>
          <c:showLegendKey val="0"/>
          <c:showVal val="0"/>
          <c:showCatName val="0"/>
          <c:showSerName val="0"/>
          <c:showPercent val="0"/>
          <c:showBubbleSize val="0"/>
        </c:dLbls>
        <c:smooth val="0"/>
        <c:axId val="2127835584"/>
        <c:axId val="2127832592"/>
      </c:lineChart>
      <c:catAx>
        <c:axId val="2127835584"/>
        <c:scaling>
          <c:orientation val="minMax"/>
        </c:scaling>
        <c:delete val="0"/>
        <c:axPos val="b"/>
        <c:numFmt formatCode="General" sourceLinked="1"/>
        <c:majorTickMark val="out"/>
        <c:minorTickMark val="none"/>
        <c:tickLblPos val="nextTo"/>
        <c:crossAx val="2127832592"/>
        <c:crosses val="autoZero"/>
        <c:auto val="1"/>
        <c:lblAlgn val="ctr"/>
        <c:lblOffset val="100"/>
        <c:noMultiLvlLbl val="0"/>
      </c:catAx>
      <c:valAx>
        <c:axId val="2127832592"/>
        <c:scaling>
          <c:orientation val="minMax"/>
        </c:scaling>
        <c:delete val="0"/>
        <c:axPos val="l"/>
        <c:majorGridlines>
          <c:spPr>
            <a:ln>
              <a:solidFill>
                <a:schemeClr val="bg1"/>
              </a:solidFill>
            </a:ln>
          </c:spPr>
        </c:majorGridlines>
        <c:numFmt formatCode="0.00%" sourceLinked="1"/>
        <c:majorTickMark val="out"/>
        <c:minorTickMark val="none"/>
        <c:tickLblPos val="nextTo"/>
        <c:crossAx val="2127835584"/>
        <c:crosses val="autoZero"/>
        <c:crossBetween val="between"/>
      </c:valAx>
    </c:plotArea>
    <c:legend>
      <c:legendPos val="r"/>
      <c:layout>
        <c:manualLayout>
          <c:xMode val="edge"/>
          <c:yMode val="edge"/>
          <c:x val="9.0184577286058099E-3"/>
          <c:y val="3.19421966321142E-2"/>
          <c:w val="0.675153944707928"/>
          <c:h val="0.17678218373099699"/>
        </c:manualLayout>
      </c:layout>
      <c:overlay val="0"/>
    </c:legend>
    <c:plotVisOnly val="1"/>
    <c:dispBlanksAs val="gap"/>
    <c:showDLblsOverMax val="0"/>
  </c:chart>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897335107993003E-2"/>
          <c:y val="5.1400554097404502E-2"/>
          <c:w val="0.83721345258382995"/>
          <c:h val="0.89719889180519097"/>
        </c:manualLayout>
      </c:layout>
      <c:lineChart>
        <c:grouping val="standard"/>
        <c:varyColors val="0"/>
        <c:ser>
          <c:idx val="0"/>
          <c:order val="0"/>
          <c:tx>
            <c:v>External Public Debt asjusted by RER/GDP</c:v>
          </c:tx>
          <c:marker>
            <c:symbol val="none"/>
          </c:marker>
          <c:cat>
            <c:numRef>
              <c:f>'Budget Constraint'!$A$4:$A$15</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'Budget Constraint'!$B$4:$B$15</c:f>
              <c:numCache>
                <c:formatCode>0.00%</c:formatCode>
                <c:ptCount val="12"/>
                <c:pt idx="0">
                  <c:v>-3.2507398180374458E-3</c:v>
                </c:pt>
                <c:pt idx="1">
                  <c:v>-4.2398145169607465E-3</c:v>
                </c:pt>
                <c:pt idx="2">
                  <c:v>3.3328193246151411E-3</c:v>
                </c:pt>
                <c:pt idx="3">
                  <c:v>1.1634015183941568E-2</c:v>
                </c:pt>
                <c:pt idx="4">
                  <c:v>2.0660812411326945E-2</c:v>
                </c:pt>
                <c:pt idx="5">
                  <c:v>4.3893401200626125E-2</c:v>
                </c:pt>
                <c:pt idx="6">
                  <c:v>3.1531179727712466E-2</c:v>
                </c:pt>
                <c:pt idx="7">
                  <c:v>3.1789324234595406E-2</c:v>
                </c:pt>
                <c:pt idx="8">
                  <c:v>2.7907820631068614E-2</c:v>
                </c:pt>
                <c:pt idx="9">
                  <c:v>1.3342664871368592E-3</c:v>
                </c:pt>
                <c:pt idx="10">
                  <c:v>-1.6007520537650838E-2</c:v>
                </c:pt>
                <c:pt idx="11">
                  <c:v>-2.913930763329653E-2</c:v>
                </c:pt>
              </c:numCache>
            </c:numRef>
          </c:val>
          <c:smooth val="0"/>
          <c:extLst>
            <c:ext xmlns:c16="http://schemas.microsoft.com/office/drawing/2014/chart" uri="{C3380CC4-5D6E-409C-BE32-E72D297353CC}">
              <c16:uniqueId val="{00000000-3F4C-4A04-879A-A59F00F9CC20}"/>
            </c:ext>
          </c:extLst>
        </c:ser>
        <c:dLbls>
          <c:showLegendKey val="0"/>
          <c:showVal val="0"/>
          <c:showCatName val="0"/>
          <c:showSerName val="0"/>
          <c:showPercent val="0"/>
          <c:showBubbleSize val="0"/>
        </c:dLbls>
        <c:marker val="1"/>
        <c:smooth val="0"/>
        <c:axId val="2127791456"/>
        <c:axId val="2127788336"/>
      </c:lineChart>
      <c:lineChart>
        <c:grouping val="standard"/>
        <c:varyColors val="0"/>
        <c:ser>
          <c:idx val="1"/>
          <c:order val="1"/>
          <c:tx>
            <c:v>Seignorage (Right Axis)</c:v>
          </c:tx>
          <c:spPr>
            <a:ln>
              <a:solidFill>
                <a:schemeClr val="accent6">
                  <a:lumMod val="75000"/>
                </a:schemeClr>
              </a:solidFill>
            </a:ln>
          </c:spPr>
          <c:marker>
            <c:symbol val="none"/>
          </c:marker>
          <c:cat>
            <c:numRef>
              <c:f>'Budget Constraint'!$A$4:$A$15</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'Budget Constraint'!$D$4:$D$15</c:f>
              <c:numCache>
                <c:formatCode>0.000%</c:formatCode>
                <c:ptCount val="12"/>
                <c:pt idx="0">
                  <c:v>3.870596315010924E-3</c:v>
                </c:pt>
                <c:pt idx="1">
                  <c:v>4.2910526026393109E-3</c:v>
                </c:pt>
                <c:pt idx="2">
                  <c:v>7.1143177875160404E-3</c:v>
                </c:pt>
                <c:pt idx="3">
                  <c:v>8.8493676752784949E-3</c:v>
                </c:pt>
                <c:pt idx="4">
                  <c:v>3.2351657460736754E-3</c:v>
                </c:pt>
                <c:pt idx="5">
                  <c:v>8.7670254488262708E-3</c:v>
                </c:pt>
                <c:pt idx="6">
                  <c:v>6.9501727944649636E-3</c:v>
                </c:pt>
                <c:pt idx="7">
                  <c:v>4.5587874943887382E-3</c:v>
                </c:pt>
                <c:pt idx="8">
                  <c:v>7.6404901472605048E-3</c:v>
                </c:pt>
                <c:pt idx="9">
                  <c:v>1.2871769898893996E-2</c:v>
                </c:pt>
                <c:pt idx="10">
                  <c:v>1.7080909762012476E-2</c:v>
                </c:pt>
                <c:pt idx="11">
                  <c:v>2.4089246542964109E-2</c:v>
                </c:pt>
              </c:numCache>
            </c:numRef>
          </c:val>
          <c:smooth val="0"/>
          <c:extLst>
            <c:ext xmlns:c16="http://schemas.microsoft.com/office/drawing/2014/chart" uri="{C3380CC4-5D6E-409C-BE32-E72D297353CC}">
              <c16:uniqueId val="{00000001-3F4C-4A04-879A-A59F00F9CC20}"/>
            </c:ext>
          </c:extLst>
        </c:ser>
        <c:ser>
          <c:idx val="2"/>
          <c:order val="2"/>
          <c:tx>
            <c:v>Monetary Base/GDP (Right Axis)</c:v>
          </c:tx>
          <c:marker>
            <c:symbol val="none"/>
          </c:marker>
          <c:cat>
            <c:numRef>
              <c:f>'Budget Constraint'!$A$4:$A$15</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'Budget Constraint'!$C$4:$C$15</c:f>
              <c:numCache>
                <c:formatCode>0%</c:formatCode>
                <c:ptCount val="12"/>
                <c:pt idx="0">
                  <c:v>-4.1620856553350322E-3</c:v>
                </c:pt>
                <c:pt idx="1">
                  <c:v>1.0408721237318772E-2</c:v>
                </c:pt>
                <c:pt idx="2">
                  <c:v>1.2258669631175181E-2</c:v>
                </c:pt>
                <c:pt idx="3">
                  <c:v>5.6339370638831543E-3</c:v>
                </c:pt>
                <c:pt idx="4">
                  <c:v>-1.5464032586697263E-3</c:v>
                </c:pt>
                <c:pt idx="5">
                  <c:v>3.1272115559478342E-3</c:v>
                </c:pt>
                <c:pt idx="6">
                  <c:v>6.0283559832402384E-3</c:v>
                </c:pt>
                <c:pt idx="7">
                  <c:v>-3.8711649803380571E-3</c:v>
                </c:pt>
                <c:pt idx="8">
                  <c:v>1.4818975768688347E-2</c:v>
                </c:pt>
                <c:pt idx="9">
                  <c:v>3.9535807323587413E-4</c:v>
                </c:pt>
                <c:pt idx="10">
                  <c:v>1.2211151225587316E-2</c:v>
                </c:pt>
                <c:pt idx="11">
                  <c:v>-1.1559127513697531E-3</c:v>
                </c:pt>
              </c:numCache>
            </c:numRef>
          </c:val>
          <c:smooth val="0"/>
          <c:extLst>
            <c:ext xmlns:c16="http://schemas.microsoft.com/office/drawing/2014/chart" uri="{C3380CC4-5D6E-409C-BE32-E72D297353CC}">
              <c16:uniqueId val="{00000002-3F4C-4A04-879A-A59F00F9CC20}"/>
            </c:ext>
          </c:extLst>
        </c:ser>
        <c:dLbls>
          <c:showLegendKey val="0"/>
          <c:showVal val="0"/>
          <c:showCatName val="0"/>
          <c:showSerName val="0"/>
          <c:showPercent val="0"/>
          <c:showBubbleSize val="0"/>
        </c:dLbls>
        <c:marker val="1"/>
        <c:smooth val="0"/>
        <c:axId val="2127782624"/>
        <c:axId val="2127785360"/>
      </c:lineChart>
      <c:catAx>
        <c:axId val="2127791456"/>
        <c:scaling>
          <c:orientation val="minMax"/>
        </c:scaling>
        <c:delete val="0"/>
        <c:axPos val="b"/>
        <c:numFmt formatCode="General" sourceLinked="1"/>
        <c:majorTickMark val="out"/>
        <c:minorTickMark val="none"/>
        <c:tickLblPos val="nextTo"/>
        <c:crossAx val="2127788336"/>
        <c:crosses val="autoZero"/>
        <c:auto val="1"/>
        <c:lblAlgn val="ctr"/>
        <c:lblOffset val="100"/>
        <c:noMultiLvlLbl val="0"/>
      </c:catAx>
      <c:valAx>
        <c:axId val="2127788336"/>
        <c:scaling>
          <c:orientation val="minMax"/>
        </c:scaling>
        <c:delete val="0"/>
        <c:axPos val="l"/>
        <c:majorGridlines>
          <c:spPr>
            <a:ln>
              <a:solidFill>
                <a:schemeClr val="bg1"/>
              </a:solidFill>
            </a:ln>
          </c:spPr>
        </c:majorGridlines>
        <c:numFmt formatCode="0.00%" sourceLinked="1"/>
        <c:majorTickMark val="out"/>
        <c:minorTickMark val="none"/>
        <c:tickLblPos val="nextTo"/>
        <c:crossAx val="2127791456"/>
        <c:crosses val="autoZero"/>
        <c:crossBetween val="between"/>
      </c:valAx>
      <c:valAx>
        <c:axId val="2127785360"/>
        <c:scaling>
          <c:orientation val="minMax"/>
        </c:scaling>
        <c:delete val="0"/>
        <c:axPos val="r"/>
        <c:numFmt formatCode="0.000%" sourceLinked="1"/>
        <c:majorTickMark val="out"/>
        <c:minorTickMark val="none"/>
        <c:tickLblPos val="nextTo"/>
        <c:crossAx val="2127782624"/>
        <c:crosses val="max"/>
        <c:crossBetween val="between"/>
      </c:valAx>
      <c:catAx>
        <c:axId val="2127782624"/>
        <c:scaling>
          <c:orientation val="minMax"/>
        </c:scaling>
        <c:delete val="1"/>
        <c:axPos val="b"/>
        <c:numFmt formatCode="General" sourceLinked="1"/>
        <c:majorTickMark val="out"/>
        <c:minorTickMark val="none"/>
        <c:tickLblPos val="nextTo"/>
        <c:crossAx val="2127785360"/>
        <c:crosses val="autoZero"/>
        <c:auto val="1"/>
        <c:lblAlgn val="ctr"/>
        <c:lblOffset val="100"/>
        <c:noMultiLvlLbl val="0"/>
      </c:catAx>
    </c:plotArea>
    <c:legend>
      <c:legendPos val="r"/>
      <c:layout>
        <c:manualLayout>
          <c:xMode val="edge"/>
          <c:yMode val="edge"/>
          <c:x val="9.0184577286058099E-3"/>
          <c:y val="3.19421966321142E-2"/>
          <c:w val="0.675153944707928"/>
          <c:h val="0.17678218373099699"/>
        </c:manualLayout>
      </c:layout>
      <c:overlay val="0"/>
    </c:legend>
    <c:plotVisOnly val="1"/>
    <c:dispBlanksAs val="gap"/>
    <c:showDLblsOverMax val="0"/>
  </c:chart>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897335107993003E-2"/>
          <c:y val="5.1400554097404502E-2"/>
          <c:w val="0.83721345258382995"/>
          <c:h val="0.89719889180519097"/>
        </c:manualLayout>
      </c:layout>
      <c:lineChart>
        <c:grouping val="standard"/>
        <c:varyColors val="0"/>
        <c:ser>
          <c:idx val="0"/>
          <c:order val="0"/>
          <c:tx>
            <c:v>External Public Debt asjusted by RER/GDP</c:v>
          </c:tx>
          <c:marker>
            <c:symbol val="none"/>
          </c:marker>
          <c:cat>
            <c:numRef>
              <c:f>'Budget Constraint'!$A$4:$A$15</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'Budget Constraint'!$B$4:$B$15</c:f>
              <c:numCache>
                <c:formatCode>0.00%</c:formatCode>
                <c:ptCount val="12"/>
                <c:pt idx="0">
                  <c:v>-3.2507398180374458E-3</c:v>
                </c:pt>
                <c:pt idx="1">
                  <c:v>-4.2398145169607465E-3</c:v>
                </c:pt>
                <c:pt idx="2">
                  <c:v>3.3328193246151411E-3</c:v>
                </c:pt>
                <c:pt idx="3">
                  <c:v>1.1634015183941568E-2</c:v>
                </c:pt>
                <c:pt idx="4">
                  <c:v>2.0660812411326945E-2</c:v>
                </c:pt>
                <c:pt idx="5">
                  <c:v>4.3893401200626125E-2</c:v>
                </c:pt>
                <c:pt idx="6">
                  <c:v>3.1531179727712466E-2</c:v>
                </c:pt>
                <c:pt idx="7">
                  <c:v>3.1789324234595406E-2</c:v>
                </c:pt>
                <c:pt idx="8">
                  <c:v>2.7907820631068614E-2</c:v>
                </c:pt>
                <c:pt idx="9">
                  <c:v>1.3342664871368592E-3</c:v>
                </c:pt>
                <c:pt idx="10">
                  <c:v>-1.6007520537650838E-2</c:v>
                </c:pt>
                <c:pt idx="11">
                  <c:v>-2.913930763329653E-2</c:v>
                </c:pt>
              </c:numCache>
            </c:numRef>
          </c:val>
          <c:smooth val="0"/>
          <c:extLst>
            <c:ext xmlns:c16="http://schemas.microsoft.com/office/drawing/2014/chart" uri="{C3380CC4-5D6E-409C-BE32-E72D297353CC}">
              <c16:uniqueId val="{00000000-7FE2-4E73-B4B4-2A33D235677D}"/>
            </c:ext>
          </c:extLst>
        </c:ser>
        <c:dLbls>
          <c:showLegendKey val="0"/>
          <c:showVal val="0"/>
          <c:showCatName val="0"/>
          <c:showSerName val="0"/>
          <c:showPercent val="0"/>
          <c:showBubbleSize val="0"/>
        </c:dLbls>
        <c:marker val="1"/>
        <c:smooth val="0"/>
        <c:axId val="2127742240"/>
        <c:axId val="2127739120"/>
      </c:lineChart>
      <c:lineChart>
        <c:grouping val="standard"/>
        <c:varyColors val="0"/>
        <c:ser>
          <c:idx val="1"/>
          <c:order val="1"/>
          <c:tx>
            <c:v>Seignorage (Right Axis)</c:v>
          </c:tx>
          <c:spPr>
            <a:ln>
              <a:solidFill>
                <a:schemeClr val="accent6">
                  <a:lumMod val="75000"/>
                </a:schemeClr>
              </a:solidFill>
            </a:ln>
          </c:spPr>
          <c:marker>
            <c:symbol val="none"/>
          </c:marker>
          <c:cat>
            <c:numRef>
              <c:f>'Budget Constraint'!$A$4:$A$15</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'Budget Constraint'!$D$4:$D$15</c:f>
              <c:numCache>
                <c:formatCode>0.000%</c:formatCode>
                <c:ptCount val="12"/>
                <c:pt idx="0">
                  <c:v>3.870596315010924E-3</c:v>
                </c:pt>
                <c:pt idx="1">
                  <c:v>4.2910526026393109E-3</c:v>
                </c:pt>
                <c:pt idx="2">
                  <c:v>7.1143177875160404E-3</c:v>
                </c:pt>
                <c:pt idx="3">
                  <c:v>8.8493676752784949E-3</c:v>
                </c:pt>
                <c:pt idx="4">
                  <c:v>3.2351657460736754E-3</c:v>
                </c:pt>
                <c:pt idx="5">
                  <c:v>8.7670254488262708E-3</c:v>
                </c:pt>
                <c:pt idx="6">
                  <c:v>6.9501727944649636E-3</c:v>
                </c:pt>
                <c:pt idx="7">
                  <c:v>4.5587874943887382E-3</c:v>
                </c:pt>
                <c:pt idx="8">
                  <c:v>7.6404901472605048E-3</c:v>
                </c:pt>
                <c:pt idx="9">
                  <c:v>1.2871769898893996E-2</c:v>
                </c:pt>
                <c:pt idx="10">
                  <c:v>1.7080909762012476E-2</c:v>
                </c:pt>
                <c:pt idx="11">
                  <c:v>2.4089246542964109E-2</c:v>
                </c:pt>
              </c:numCache>
            </c:numRef>
          </c:val>
          <c:smooth val="0"/>
          <c:extLst>
            <c:ext xmlns:c16="http://schemas.microsoft.com/office/drawing/2014/chart" uri="{C3380CC4-5D6E-409C-BE32-E72D297353CC}">
              <c16:uniqueId val="{00000001-7FE2-4E73-B4B4-2A33D235677D}"/>
            </c:ext>
          </c:extLst>
        </c:ser>
        <c:ser>
          <c:idx val="2"/>
          <c:order val="2"/>
          <c:tx>
            <c:v>Monetary Base/GDP (Right Axis)</c:v>
          </c:tx>
          <c:marker>
            <c:symbol val="none"/>
          </c:marker>
          <c:cat>
            <c:numRef>
              <c:f>'Budget Constraint'!$A$4:$A$15</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'Budget Constraint'!$C$4:$C$15</c:f>
              <c:numCache>
                <c:formatCode>0%</c:formatCode>
                <c:ptCount val="12"/>
                <c:pt idx="0">
                  <c:v>-4.1620856553350322E-3</c:v>
                </c:pt>
                <c:pt idx="1">
                  <c:v>1.0408721237318772E-2</c:v>
                </c:pt>
                <c:pt idx="2">
                  <c:v>1.2258669631175181E-2</c:v>
                </c:pt>
                <c:pt idx="3">
                  <c:v>5.6339370638831543E-3</c:v>
                </c:pt>
                <c:pt idx="4">
                  <c:v>-1.5464032586697263E-3</c:v>
                </c:pt>
                <c:pt idx="5">
                  <c:v>3.1272115559478342E-3</c:v>
                </c:pt>
                <c:pt idx="6">
                  <c:v>6.0283559832402384E-3</c:v>
                </c:pt>
                <c:pt idx="7">
                  <c:v>-3.8711649803380571E-3</c:v>
                </c:pt>
                <c:pt idx="8">
                  <c:v>1.4818975768688347E-2</c:v>
                </c:pt>
                <c:pt idx="9">
                  <c:v>3.9535807323587413E-4</c:v>
                </c:pt>
                <c:pt idx="10">
                  <c:v>1.2211151225587316E-2</c:v>
                </c:pt>
                <c:pt idx="11">
                  <c:v>-1.1559127513697531E-3</c:v>
                </c:pt>
              </c:numCache>
            </c:numRef>
          </c:val>
          <c:smooth val="0"/>
          <c:extLst>
            <c:ext xmlns:c16="http://schemas.microsoft.com/office/drawing/2014/chart" uri="{C3380CC4-5D6E-409C-BE32-E72D297353CC}">
              <c16:uniqueId val="{00000002-7FE2-4E73-B4B4-2A33D235677D}"/>
            </c:ext>
          </c:extLst>
        </c:ser>
        <c:dLbls>
          <c:showLegendKey val="0"/>
          <c:showVal val="0"/>
          <c:showCatName val="0"/>
          <c:showSerName val="0"/>
          <c:showPercent val="0"/>
          <c:showBubbleSize val="0"/>
        </c:dLbls>
        <c:marker val="1"/>
        <c:smooth val="0"/>
        <c:axId val="2127733408"/>
        <c:axId val="2127736144"/>
      </c:lineChart>
      <c:catAx>
        <c:axId val="2127742240"/>
        <c:scaling>
          <c:orientation val="minMax"/>
        </c:scaling>
        <c:delete val="0"/>
        <c:axPos val="b"/>
        <c:numFmt formatCode="General" sourceLinked="1"/>
        <c:majorTickMark val="out"/>
        <c:minorTickMark val="none"/>
        <c:tickLblPos val="nextTo"/>
        <c:crossAx val="2127739120"/>
        <c:crosses val="autoZero"/>
        <c:auto val="1"/>
        <c:lblAlgn val="ctr"/>
        <c:lblOffset val="100"/>
        <c:noMultiLvlLbl val="0"/>
      </c:catAx>
      <c:valAx>
        <c:axId val="2127739120"/>
        <c:scaling>
          <c:orientation val="minMax"/>
        </c:scaling>
        <c:delete val="0"/>
        <c:axPos val="l"/>
        <c:majorGridlines>
          <c:spPr>
            <a:ln>
              <a:solidFill>
                <a:schemeClr val="bg1"/>
              </a:solidFill>
            </a:ln>
          </c:spPr>
        </c:majorGridlines>
        <c:numFmt formatCode="0.00%" sourceLinked="1"/>
        <c:majorTickMark val="out"/>
        <c:minorTickMark val="none"/>
        <c:tickLblPos val="nextTo"/>
        <c:crossAx val="2127742240"/>
        <c:crosses val="autoZero"/>
        <c:crossBetween val="between"/>
      </c:valAx>
      <c:valAx>
        <c:axId val="2127736144"/>
        <c:scaling>
          <c:orientation val="minMax"/>
        </c:scaling>
        <c:delete val="0"/>
        <c:axPos val="r"/>
        <c:numFmt formatCode="0.000%" sourceLinked="1"/>
        <c:majorTickMark val="out"/>
        <c:minorTickMark val="none"/>
        <c:tickLblPos val="nextTo"/>
        <c:crossAx val="2127733408"/>
        <c:crosses val="max"/>
        <c:crossBetween val="between"/>
      </c:valAx>
      <c:catAx>
        <c:axId val="2127733408"/>
        <c:scaling>
          <c:orientation val="minMax"/>
        </c:scaling>
        <c:delete val="1"/>
        <c:axPos val="b"/>
        <c:numFmt formatCode="General" sourceLinked="1"/>
        <c:majorTickMark val="out"/>
        <c:minorTickMark val="none"/>
        <c:tickLblPos val="nextTo"/>
        <c:crossAx val="2127736144"/>
        <c:crosses val="autoZero"/>
        <c:auto val="1"/>
        <c:lblAlgn val="ctr"/>
        <c:lblOffset val="100"/>
        <c:noMultiLvlLbl val="0"/>
      </c:catAx>
    </c:plotArea>
    <c:legend>
      <c:legendPos val="r"/>
      <c:layout>
        <c:manualLayout>
          <c:xMode val="edge"/>
          <c:yMode val="edge"/>
          <c:x val="9.0184577286058099E-3"/>
          <c:y val="3.19421966321142E-2"/>
          <c:w val="0.675153944707928"/>
          <c:h val="0.17678218373099699"/>
        </c:manualLayout>
      </c:layout>
      <c:overlay val="0"/>
    </c:legend>
    <c:plotVisOnly val="1"/>
    <c:dispBlanksAs val="gap"/>
    <c:showDLblsOverMax val="0"/>
  </c:chart>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849518810148703E-2"/>
          <c:y val="5.1400554097404502E-2"/>
          <c:w val="0.88045559930008799"/>
          <c:h val="0.78278032954214005"/>
        </c:manualLayout>
      </c:layout>
      <c:lineChart>
        <c:grouping val="standard"/>
        <c:varyColors val="0"/>
        <c:ser>
          <c:idx val="0"/>
          <c:order val="0"/>
          <c:tx>
            <c:strRef>
              <c:f>Base_Graficos!$CK$2</c:f>
              <c:strCache>
                <c:ptCount val="1"/>
                <c:pt idx="0">
                  <c:v>GDP Growth </c:v>
                </c:pt>
              </c:strCache>
            </c:strRef>
          </c:tx>
          <c:marker>
            <c:symbol val="none"/>
          </c:marker>
          <c:cat>
            <c:numRef>
              <c:f>Base_Graficos!$A$5:$A$16</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Base_Graficos!$CK$4:$CK$16</c:f>
              <c:numCache>
                <c:formatCode>0%</c:formatCode>
                <c:ptCount val="13"/>
                <c:pt idx="0">
                  <c:v>6.9002855141946595E-2</c:v>
                </c:pt>
                <c:pt idx="1">
                  <c:v>3.300258517730903E-2</c:v>
                </c:pt>
                <c:pt idx="2">
                  <c:v>4.7102913374604594E-2</c:v>
                </c:pt>
                <c:pt idx="3">
                  <c:v>4.2124773584204078E-2</c:v>
                </c:pt>
                <c:pt idx="4">
                  <c:v>6.1679747592396916E-2</c:v>
                </c:pt>
                <c:pt idx="5">
                  <c:v>1.991503333128275E-2</c:v>
                </c:pt>
                <c:pt idx="6">
                  <c:v>9.1503672042041018E-2</c:v>
                </c:pt>
                <c:pt idx="7">
                  <c:v>4.527073841332574E-2</c:v>
                </c:pt>
                <c:pt idx="8">
                  <c:v>4.7011514083162398E-2</c:v>
                </c:pt>
                <c:pt idx="9">
                  <c:v>5.5534257358763384E-2</c:v>
                </c:pt>
                <c:pt idx="10">
                  <c:v>5.5381519387889488E-2</c:v>
                </c:pt>
                <c:pt idx="11">
                  <c:v>6.6312974759276555E-2</c:v>
                </c:pt>
                <c:pt idx="12">
                  <c:v>7.3028129073295256E-2</c:v>
                </c:pt>
              </c:numCache>
            </c:numRef>
          </c:val>
          <c:smooth val="0"/>
          <c:extLst>
            <c:ext xmlns:c16="http://schemas.microsoft.com/office/drawing/2014/chart" uri="{C3380CC4-5D6E-409C-BE32-E72D297353CC}">
              <c16:uniqueId val="{00000000-9C60-427E-A845-F116282416FC}"/>
            </c:ext>
          </c:extLst>
        </c:ser>
        <c:dLbls>
          <c:showLegendKey val="0"/>
          <c:showVal val="0"/>
          <c:showCatName val="0"/>
          <c:showSerName val="0"/>
          <c:showPercent val="0"/>
          <c:showBubbleSize val="0"/>
        </c:dLbls>
        <c:smooth val="0"/>
        <c:axId val="2130278720"/>
        <c:axId val="2130281632"/>
      </c:lineChart>
      <c:catAx>
        <c:axId val="2130278720"/>
        <c:scaling>
          <c:orientation val="minMax"/>
        </c:scaling>
        <c:delete val="0"/>
        <c:axPos val="b"/>
        <c:numFmt formatCode="General" sourceLinked="1"/>
        <c:majorTickMark val="out"/>
        <c:minorTickMark val="none"/>
        <c:tickLblPos val="nextTo"/>
        <c:crossAx val="2130281632"/>
        <c:crosses val="autoZero"/>
        <c:auto val="1"/>
        <c:lblAlgn val="ctr"/>
        <c:lblOffset val="100"/>
        <c:noMultiLvlLbl val="0"/>
      </c:catAx>
      <c:valAx>
        <c:axId val="2130281632"/>
        <c:scaling>
          <c:orientation val="minMax"/>
          <c:min val="0.01"/>
        </c:scaling>
        <c:delete val="0"/>
        <c:axPos val="l"/>
        <c:majorGridlines>
          <c:spPr>
            <a:ln>
              <a:solidFill>
                <a:schemeClr val="bg1"/>
              </a:solidFill>
            </a:ln>
          </c:spPr>
        </c:majorGridlines>
        <c:numFmt formatCode="0%" sourceLinked="1"/>
        <c:majorTickMark val="out"/>
        <c:minorTickMark val="none"/>
        <c:tickLblPos val="nextTo"/>
        <c:crossAx val="2130278720"/>
        <c:crosses val="autoZero"/>
        <c:crossBetween val="between"/>
      </c:valAx>
    </c:plotArea>
    <c:legend>
      <c:legendPos val="r"/>
      <c:layout>
        <c:manualLayout>
          <c:xMode val="edge"/>
          <c:yMode val="edge"/>
          <c:x val="0.40286067366579198"/>
          <c:y val="2.75856663750364E-2"/>
          <c:w val="0.206779168095927"/>
          <c:h val="8.3017120498508304E-2"/>
        </c:manualLayout>
      </c:layout>
      <c:overlay val="0"/>
    </c:legend>
    <c:plotVisOnly val="1"/>
    <c:dispBlanksAs val="gap"/>
    <c:showDLblsOverMax val="0"/>
  </c:chart>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849518810148703E-2"/>
          <c:y val="5.1400554097404502E-2"/>
          <c:w val="0.88045559930008799"/>
          <c:h val="0.91132593219977498"/>
        </c:manualLayout>
      </c:layout>
      <c:lineChart>
        <c:grouping val="standard"/>
        <c:varyColors val="0"/>
        <c:ser>
          <c:idx val="0"/>
          <c:order val="0"/>
          <c:tx>
            <c:strRef>
              <c:f>Base_Graficos!$CK$2</c:f>
              <c:strCache>
                <c:ptCount val="1"/>
                <c:pt idx="0">
                  <c:v>GDP Growth </c:v>
                </c:pt>
              </c:strCache>
            </c:strRef>
          </c:tx>
          <c:marker>
            <c:symbol val="none"/>
          </c:marker>
          <c:cat>
            <c:numRef>
              <c:f>Base_Graficos!$A$17:$A$32</c:f>
              <c:numCache>
                <c:formatCode>General</c:formatCode>
                <c:ptCount val="1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numCache>
            </c:numRef>
          </c:cat>
          <c:val>
            <c:numRef>
              <c:f>Base_Graficos!$CK$17:$CK$32</c:f>
              <c:numCache>
                <c:formatCode>0%</c:formatCode>
                <c:ptCount val="16"/>
                <c:pt idx="0">
                  <c:v>8.3815254380606996E-2</c:v>
                </c:pt>
                <c:pt idx="1">
                  <c:v>6.8524447148100132E-2</c:v>
                </c:pt>
                <c:pt idx="2">
                  <c:v>7.5259495306975399E-2</c:v>
                </c:pt>
                <c:pt idx="3">
                  <c:v>0.11494081602257888</c:v>
                </c:pt>
                <c:pt idx="4">
                  <c:v>0.12028729945260408</c:v>
                </c:pt>
                <c:pt idx="5">
                  <c:v>0.11862146972516618</c:v>
                </c:pt>
                <c:pt idx="6">
                  <c:v>0.11712145942928354</c:v>
                </c:pt>
                <c:pt idx="7">
                  <c:v>9.1704588496358985E-2</c:v>
                </c:pt>
                <c:pt idx="8">
                  <c:v>-1.3976177174266913E-2</c:v>
                </c:pt>
                <c:pt idx="9">
                  <c:v>-3.0426178854093933E-2</c:v>
                </c:pt>
                <c:pt idx="10">
                  <c:v>2.816599446700363E-2</c:v>
                </c:pt>
                <c:pt idx="11">
                  <c:v>4.5231356784568355E-2</c:v>
                </c:pt>
                <c:pt idx="12">
                  <c:v>4.9648356642973068E-2</c:v>
                </c:pt>
                <c:pt idx="13">
                  <c:v>7.5823043769046805E-2</c:v>
                </c:pt>
                <c:pt idx="14">
                  <c:v>5.9153720660205744E-2</c:v>
                </c:pt>
                <c:pt idx="15">
                  <c:v>6.935203910123322E-2</c:v>
                </c:pt>
              </c:numCache>
            </c:numRef>
          </c:val>
          <c:smooth val="0"/>
          <c:extLst>
            <c:ext xmlns:c16="http://schemas.microsoft.com/office/drawing/2014/chart" uri="{C3380CC4-5D6E-409C-BE32-E72D297353CC}">
              <c16:uniqueId val="{00000000-2099-4606-9479-EA99206088BF}"/>
            </c:ext>
          </c:extLst>
        </c:ser>
        <c:dLbls>
          <c:showLegendKey val="0"/>
          <c:showVal val="0"/>
          <c:showCatName val="0"/>
          <c:showSerName val="0"/>
          <c:showPercent val="0"/>
          <c:showBubbleSize val="0"/>
        </c:dLbls>
        <c:smooth val="0"/>
        <c:axId val="2130315200"/>
        <c:axId val="2130318112"/>
      </c:lineChart>
      <c:catAx>
        <c:axId val="2130315200"/>
        <c:scaling>
          <c:orientation val="minMax"/>
        </c:scaling>
        <c:delete val="0"/>
        <c:axPos val="b"/>
        <c:numFmt formatCode="General" sourceLinked="1"/>
        <c:majorTickMark val="out"/>
        <c:minorTickMark val="none"/>
        <c:tickLblPos val="nextTo"/>
        <c:crossAx val="2130318112"/>
        <c:crosses val="autoZero"/>
        <c:auto val="1"/>
        <c:lblAlgn val="ctr"/>
        <c:lblOffset val="100"/>
        <c:noMultiLvlLbl val="0"/>
      </c:catAx>
      <c:valAx>
        <c:axId val="2130318112"/>
        <c:scaling>
          <c:orientation val="minMax"/>
        </c:scaling>
        <c:delete val="0"/>
        <c:axPos val="l"/>
        <c:majorGridlines>
          <c:spPr>
            <a:ln>
              <a:solidFill>
                <a:schemeClr val="bg1"/>
              </a:solidFill>
            </a:ln>
          </c:spPr>
        </c:majorGridlines>
        <c:numFmt formatCode="0%" sourceLinked="1"/>
        <c:majorTickMark val="out"/>
        <c:minorTickMark val="none"/>
        <c:tickLblPos val="nextTo"/>
        <c:crossAx val="2130315200"/>
        <c:crosses val="autoZero"/>
        <c:crossBetween val="between"/>
      </c:valAx>
    </c:plotArea>
    <c:legend>
      <c:legendPos val="r"/>
      <c:layout>
        <c:manualLayout>
          <c:xMode val="edge"/>
          <c:yMode val="edge"/>
          <c:x val="0.40286067366579198"/>
          <c:y val="2.75856663750364E-2"/>
          <c:w val="0.20677920867368199"/>
          <c:h val="8.3017120498508304E-2"/>
        </c:manualLayout>
      </c:layout>
      <c:overlay val="0"/>
    </c:legend>
    <c:plotVisOnly val="1"/>
    <c:dispBlanksAs val="gap"/>
    <c:showDLblsOverMax val="0"/>
  </c:chart>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849518810148703E-2"/>
          <c:y val="5.1400554097404502E-2"/>
          <c:w val="0.88045559930008799"/>
          <c:h val="0.87918952635131098"/>
        </c:manualLayout>
      </c:layout>
      <c:lineChart>
        <c:grouping val="standard"/>
        <c:varyColors val="0"/>
        <c:ser>
          <c:idx val="0"/>
          <c:order val="0"/>
          <c:tx>
            <c:strRef>
              <c:f>Base_Graficos!$CK$2</c:f>
              <c:strCache>
                <c:ptCount val="1"/>
                <c:pt idx="0">
                  <c:v>GDP Growth </c:v>
                </c:pt>
              </c:strCache>
            </c:strRef>
          </c:tx>
          <c:marker>
            <c:symbol val="none"/>
          </c:marker>
          <c:cat>
            <c:numRef>
              <c:f>Base_Graficos!$A$33:$A$46</c:f>
              <c:numCache>
                <c:formatCode>General</c:formatCode>
                <c:ptCount val="1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numCache>
            </c:numRef>
          </c:cat>
          <c:val>
            <c:numRef>
              <c:f>Base_Graficos!$CK$33:$CK$46</c:f>
              <c:numCache>
                <c:formatCode>0%</c:formatCode>
                <c:ptCount val="14"/>
                <c:pt idx="0">
                  <c:v>4.1232828795816134E-2</c:v>
                </c:pt>
                <c:pt idx="1">
                  <c:v>3.4936501550678623E-2</c:v>
                </c:pt>
                <c:pt idx="2">
                  <c:v>1.6964280112351293E-2</c:v>
                </c:pt>
                <c:pt idx="3">
                  <c:v>4.9363594147654899E-2</c:v>
                </c:pt>
                <c:pt idx="4">
                  <c:v>5.3179176601827249E-2</c:v>
                </c:pt>
                <c:pt idx="5">
                  <c:v>6.8228103036197751E-2</c:v>
                </c:pt>
                <c:pt idx="6">
                  <c:v>1.5737851317312535E-2</c:v>
                </c:pt>
                <c:pt idx="7">
                  <c:v>4.2425161027366265E-2</c:v>
                </c:pt>
                <c:pt idx="8">
                  <c:v>6.8037755757277552E-4</c:v>
                </c:pt>
                <c:pt idx="9">
                  <c:v>-1.3660797123859481E-2</c:v>
                </c:pt>
                <c:pt idx="10">
                  <c:v>-2.3141405682292504E-2</c:v>
                </c:pt>
                <c:pt idx="11">
                  <c:v>-8.340547167246859E-3</c:v>
                </c:pt>
                <c:pt idx="12">
                  <c:v>-2.1404395033330914E-4</c:v>
                </c:pt>
                <c:pt idx="13">
                  <c:v>4.3207454855496152E-2</c:v>
                </c:pt>
              </c:numCache>
            </c:numRef>
          </c:val>
          <c:smooth val="0"/>
          <c:extLst>
            <c:ext xmlns:c16="http://schemas.microsoft.com/office/drawing/2014/chart" uri="{C3380CC4-5D6E-409C-BE32-E72D297353CC}">
              <c16:uniqueId val="{00000000-EEE1-4AD6-A9B5-CF2228950F3C}"/>
            </c:ext>
          </c:extLst>
        </c:ser>
        <c:dLbls>
          <c:showLegendKey val="0"/>
          <c:showVal val="0"/>
          <c:showCatName val="0"/>
          <c:showSerName val="0"/>
          <c:showPercent val="0"/>
          <c:showBubbleSize val="0"/>
        </c:dLbls>
        <c:smooth val="0"/>
        <c:axId val="2130345376"/>
        <c:axId val="2130348288"/>
      </c:lineChart>
      <c:catAx>
        <c:axId val="2130345376"/>
        <c:scaling>
          <c:orientation val="minMax"/>
        </c:scaling>
        <c:delete val="0"/>
        <c:axPos val="b"/>
        <c:numFmt formatCode="General" sourceLinked="1"/>
        <c:majorTickMark val="out"/>
        <c:minorTickMark val="none"/>
        <c:tickLblPos val="nextTo"/>
        <c:crossAx val="2130348288"/>
        <c:crosses val="autoZero"/>
        <c:auto val="1"/>
        <c:lblAlgn val="ctr"/>
        <c:lblOffset val="100"/>
        <c:noMultiLvlLbl val="0"/>
      </c:catAx>
      <c:valAx>
        <c:axId val="2130348288"/>
        <c:scaling>
          <c:orientation val="minMax"/>
        </c:scaling>
        <c:delete val="0"/>
        <c:axPos val="l"/>
        <c:majorGridlines>
          <c:spPr>
            <a:ln>
              <a:solidFill>
                <a:schemeClr val="bg1"/>
              </a:solidFill>
            </a:ln>
          </c:spPr>
        </c:majorGridlines>
        <c:numFmt formatCode="0%" sourceLinked="1"/>
        <c:majorTickMark val="out"/>
        <c:minorTickMark val="none"/>
        <c:tickLblPos val="nextTo"/>
        <c:crossAx val="2130345376"/>
        <c:crosses val="autoZero"/>
        <c:crossBetween val="between"/>
      </c:valAx>
    </c:plotArea>
    <c:legend>
      <c:legendPos val="r"/>
      <c:layout>
        <c:manualLayout>
          <c:xMode val="edge"/>
          <c:yMode val="edge"/>
          <c:x val="0.40286067366579198"/>
          <c:y val="2.75856663750364E-2"/>
          <c:w val="0.20677920867368199"/>
          <c:h val="8.3017120498508304E-2"/>
        </c:manualLayout>
      </c:layout>
      <c:overlay val="0"/>
    </c:legend>
    <c:plotVisOnly val="1"/>
    <c:dispBlanksAs val="gap"/>
    <c:showDLblsOverMax val="0"/>
  </c:chart>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849518810148703E-2"/>
          <c:y val="5.1400554097404502E-2"/>
          <c:w val="0.88045559930008799"/>
          <c:h val="0.851644035624055"/>
        </c:manualLayout>
      </c:layout>
      <c:lineChart>
        <c:grouping val="standard"/>
        <c:varyColors val="0"/>
        <c:ser>
          <c:idx val="0"/>
          <c:order val="0"/>
          <c:tx>
            <c:strRef>
              <c:f>Base_Graficos!$CK$2</c:f>
              <c:strCache>
                <c:ptCount val="1"/>
                <c:pt idx="0">
                  <c:v>GDP Growth </c:v>
                </c:pt>
              </c:strCache>
            </c:strRef>
          </c:tx>
          <c:marker>
            <c:symbol val="none"/>
          </c:marker>
          <c:cat>
            <c:numRef>
              <c:f>Base_Graficos!$A$47:$A$57</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Base_Graficos!$CK$47:$CK$57</c:f>
              <c:numCache>
                <c:formatCode>0%</c:formatCode>
                <c:ptCount val="11"/>
                <c:pt idx="0">
                  <c:v>4.0574183636285399E-2</c:v>
                </c:pt>
                <c:pt idx="1">
                  <c:v>2.133490664604043E-2</c:v>
                </c:pt>
                <c:pt idx="2">
                  <c:v>4.8071171927070777E-2</c:v>
                </c:pt>
                <c:pt idx="3">
                  <c:v>5.4216228722020476E-2</c:v>
                </c:pt>
                <c:pt idx="4">
                  <c:v>6.3591207932471194E-2</c:v>
                </c:pt>
                <c:pt idx="5">
                  <c:v>-3.9656954640880815E-2</c:v>
                </c:pt>
                <c:pt idx="6">
                  <c:v>0.13093001522724301</c:v>
                </c:pt>
                <c:pt idx="7">
                  <c:v>4.3424071936255082E-2</c:v>
                </c:pt>
                <c:pt idx="8">
                  <c:v>-1.2389678459293951E-2</c:v>
                </c:pt>
                <c:pt idx="9">
                  <c:v>0.14036276733804698</c:v>
                </c:pt>
                <c:pt idx="10">
                  <c:v>4.7223337450089442E-2</c:v>
                </c:pt>
              </c:numCache>
            </c:numRef>
          </c:val>
          <c:smooth val="0"/>
          <c:extLst>
            <c:ext xmlns:c16="http://schemas.microsoft.com/office/drawing/2014/chart" uri="{C3380CC4-5D6E-409C-BE32-E72D297353CC}">
              <c16:uniqueId val="{00000000-6EC6-4B89-A307-10AD365C16A7}"/>
            </c:ext>
          </c:extLst>
        </c:ser>
        <c:dLbls>
          <c:showLegendKey val="0"/>
          <c:showVal val="0"/>
          <c:showCatName val="0"/>
          <c:showSerName val="0"/>
          <c:showPercent val="0"/>
          <c:showBubbleSize val="0"/>
        </c:dLbls>
        <c:smooth val="0"/>
        <c:axId val="2130375584"/>
        <c:axId val="2130378496"/>
      </c:lineChart>
      <c:catAx>
        <c:axId val="2130375584"/>
        <c:scaling>
          <c:orientation val="minMax"/>
        </c:scaling>
        <c:delete val="0"/>
        <c:axPos val="b"/>
        <c:numFmt formatCode="General" sourceLinked="1"/>
        <c:majorTickMark val="out"/>
        <c:minorTickMark val="none"/>
        <c:tickLblPos val="nextTo"/>
        <c:crossAx val="2130378496"/>
        <c:crosses val="autoZero"/>
        <c:auto val="1"/>
        <c:lblAlgn val="ctr"/>
        <c:lblOffset val="100"/>
        <c:noMultiLvlLbl val="0"/>
      </c:catAx>
      <c:valAx>
        <c:axId val="2130378496"/>
        <c:scaling>
          <c:orientation val="minMax"/>
        </c:scaling>
        <c:delete val="0"/>
        <c:axPos val="l"/>
        <c:majorGridlines>
          <c:spPr>
            <a:ln>
              <a:solidFill>
                <a:schemeClr val="bg1"/>
              </a:solidFill>
            </a:ln>
          </c:spPr>
        </c:majorGridlines>
        <c:numFmt formatCode="0%" sourceLinked="1"/>
        <c:majorTickMark val="out"/>
        <c:minorTickMark val="none"/>
        <c:tickLblPos val="nextTo"/>
        <c:crossAx val="2130375584"/>
        <c:crosses val="autoZero"/>
        <c:crossBetween val="between"/>
      </c:valAx>
    </c:plotArea>
    <c:legend>
      <c:legendPos val="r"/>
      <c:layout>
        <c:manualLayout>
          <c:xMode val="edge"/>
          <c:yMode val="edge"/>
          <c:x val="0.40286067366579198"/>
          <c:y val="2.75856663750364E-2"/>
          <c:w val="0.20677920867368199"/>
          <c:h val="8.3017120498508304E-2"/>
        </c:manualLayout>
      </c:layout>
      <c:overlay val="0"/>
    </c:legend>
    <c:plotVisOnly val="1"/>
    <c:dispBlanksAs val="gap"/>
    <c:showDLblsOverMax val="0"/>
  </c:chart>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849518810148703E-2"/>
          <c:y val="5.1400554097404502E-2"/>
          <c:w val="0.88045559930008799"/>
          <c:h val="0.78278032954214005"/>
        </c:manualLayout>
      </c:layout>
      <c:lineChart>
        <c:grouping val="standard"/>
        <c:varyColors val="0"/>
        <c:ser>
          <c:idx val="0"/>
          <c:order val="0"/>
          <c:tx>
            <c:strRef>
              <c:f>Base_Graficos!$CK$2</c:f>
              <c:strCache>
                <c:ptCount val="1"/>
                <c:pt idx="0">
                  <c:v>GDP Growth </c:v>
                </c:pt>
              </c:strCache>
            </c:strRef>
          </c:tx>
          <c:marker>
            <c:symbol val="none"/>
          </c:marker>
          <c:cat>
            <c:numRef>
              <c:f>Base_Graficos!$A$5:$A$16</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Base_Graficos!$CK$5:$CK$16</c:f>
              <c:numCache>
                <c:formatCode>0%</c:formatCode>
                <c:ptCount val="12"/>
                <c:pt idx="0">
                  <c:v>3.300258517730903E-2</c:v>
                </c:pt>
                <c:pt idx="1">
                  <c:v>4.7102913374604594E-2</c:v>
                </c:pt>
                <c:pt idx="2">
                  <c:v>4.2124773584204078E-2</c:v>
                </c:pt>
                <c:pt idx="3">
                  <c:v>6.1679747592396916E-2</c:v>
                </c:pt>
                <c:pt idx="4">
                  <c:v>1.991503333128275E-2</c:v>
                </c:pt>
                <c:pt idx="5">
                  <c:v>9.1503672042041018E-2</c:v>
                </c:pt>
                <c:pt idx="6">
                  <c:v>4.527073841332574E-2</c:v>
                </c:pt>
                <c:pt idx="7">
                  <c:v>4.7011514083162398E-2</c:v>
                </c:pt>
                <c:pt idx="8">
                  <c:v>5.5534257358763384E-2</c:v>
                </c:pt>
                <c:pt idx="9">
                  <c:v>5.5381519387889488E-2</c:v>
                </c:pt>
                <c:pt idx="10">
                  <c:v>6.6312974759276555E-2</c:v>
                </c:pt>
                <c:pt idx="11">
                  <c:v>7.3028129073295256E-2</c:v>
                </c:pt>
              </c:numCache>
            </c:numRef>
          </c:val>
          <c:smooth val="0"/>
          <c:extLst>
            <c:ext xmlns:c16="http://schemas.microsoft.com/office/drawing/2014/chart" uri="{C3380CC4-5D6E-409C-BE32-E72D297353CC}">
              <c16:uniqueId val="{00000000-C916-42F5-9AAC-59AED82359DA}"/>
            </c:ext>
          </c:extLst>
        </c:ser>
        <c:dLbls>
          <c:showLegendKey val="0"/>
          <c:showVal val="0"/>
          <c:showCatName val="0"/>
          <c:showSerName val="0"/>
          <c:showPercent val="0"/>
          <c:showBubbleSize val="0"/>
        </c:dLbls>
        <c:smooth val="0"/>
        <c:axId val="2130406080"/>
        <c:axId val="2130408992"/>
      </c:lineChart>
      <c:catAx>
        <c:axId val="2130406080"/>
        <c:scaling>
          <c:orientation val="minMax"/>
        </c:scaling>
        <c:delete val="0"/>
        <c:axPos val="b"/>
        <c:numFmt formatCode="General" sourceLinked="1"/>
        <c:majorTickMark val="out"/>
        <c:minorTickMark val="none"/>
        <c:tickLblPos val="nextTo"/>
        <c:crossAx val="2130408992"/>
        <c:crosses val="autoZero"/>
        <c:auto val="1"/>
        <c:lblAlgn val="ctr"/>
        <c:lblOffset val="100"/>
        <c:noMultiLvlLbl val="0"/>
      </c:catAx>
      <c:valAx>
        <c:axId val="2130408992"/>
        <c:scaling>
          <c:orientation val="minMax"/>
          <c:min val="0.01"/>
        </c:scaling>
        <c:delete val="0"/>
        <c:axPos val="l"/>
        <c:majorGridlines>
          <c:spPr>
            <a:ln>
              <a:solidFill>
                <a:schemeClr val="bg1"/>
              </a:solidFill>
            </a:ln>
          </c:spPr>
        </c:majorGridlines>
        <c:numFmt formatCode="0%" sourceLinked="1"/>
        <c:majorTickMark val="out"/>
        <c:minorTickMark val="none"/>
        <c:tickLblPos val="nextTo"/>
        <c:crossAx val="2130406080"/>
        <c:crosses val="autoZero"/>
        <c:crossBetween val="between"/>
      </c:valAx>
    </c:plotArea>
    <c:legend>
      <c:legendPos val="r"/>
      <c:layout>
        <c:manualLayout>
          <c:xMode val="edge"/>
          <c:yMode val="edge"/>
          <c:x val="0.40286067366579198"/>
          <c:y val="2.75856663750364E-2"/>
          <c:w val="0.206779168095927"/>
          <c:h val="8.3017120498508304E-2"/>
        </c:manualLayout>
      </c:layout>
      <c:overlay val="0"/>
    </c:legend>
    <c:plotVisOnly val="1"/>
    <c:dispBlanksAs val="gap"/>
    <c:showDLblsOverMax val="0"/>
  </c:chart>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849518810148703E-2"/>
          <c:y val="5.1400554097404502E-2"/>
          <c:w val="0.88045559930008799"/>
          <c:h val="0.91132593219977498"/>
        </c:manualLayout>
      </c:layout>
      <c:lineChart>
        <c:grouping val="standard"/>
        <c:varyColors val="0"/>
        <c:ser>
          <c:idx val="0"/>
          <c:order val="0"/>
          <c:tx>
            <c:strRef>
              <c:f>Base_Graficos!$CK$2</c:f>
              <c:strCache>
                <c:ptCount val="1"/>
                <c:pt idx="0">
                  <c:v>GDP Growth </c:v>
                </c:pt>
              </c:strCache>
            </c:strRef>
          </c:tx>
          <c:marker>
            <c:symbol val="none"/>
          </c:marker>
          <c:cat>
            <c:numRef>
              <c:f>Base_Graficos!$A$17:$A$32</c:f>
              <c:numCache>
                <c:formatCode>General</c:formatCode>
                <c:ptCount val="1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numCache>
            </c:numRef>
          </c:cat>
          <c:val>
            <c:numRef>
              <c:f>Base_Graficos!$CK$17:$CK$32</c:f>
              <c:numCache>
                <c:formatCode>0%</c:formatCode>
                <c:ptCount val="16"/>
                <c:pt idx="0">
                  <c:v>8.3815254380606996E-2</c:v>
                </c:pt>
                <c:pt idx="1">
                  <c:v>6.8524447148100132E-2</c:v>
                </c:pt>
                <c:pt idx="2">
                  <c:v>7.5259495306975399E-2</c:v>
                </c:pt>
                <c:pt idx="3">
                  <c:v>0.11494081602257888</c:v>
                </c:pt>
                <c:pt idx="4">
                  <c:v>0.12028729945260408</c:v>
                </c:pt>
                <c:pt idx="5">
                  <c:v>0.11862146972516618</c:v>
                </c:pt>
                <c:pt idx="6">
                  <c:v>0.11712145942928354</c:v>
                </c:pt>
                <c:pt idx="7">
                  <c:v>9.1704588496358985E-2</c:v>
                </c:pt>
                <c:pt idx="8">
                  <c:v>-1.3976177174266913E-2</c:v>
                </c:pt>
                <c:pt idx="9">
                  <c:v>-3.0426178854093933E-2</c:v>
                </c:pt>
                <c:pt idx="10">
                  <c:v>2.816599446700363E-2</c:v>
                </c:pt>
                <c:pt idx="11">
                  <c:v>4.5231356784568355E-2</c:v>
                </c:pt>
                <c:pt idx="12">
                  <c:v>4.9648356642973068E-2</c:v>
                </c:pt>
                <c:pt idx="13">
                  <c:v>7.5823043769046805E-2</c:v>
                </c:pt>
                <c:pt idx="14">
                  <c:v>5.9153720660205744E-2</c:v>
                </c:pt>
                <c:pt idx="15">
                  <c:v>6.935203910123322E-2</c:v>
                </c:pt>
              </c:numCache>
            </c:numRef>
          </c:val>
          <c:smooth val="0"/>
          <c:extLst>
            <c:ext xmlns:c16="http://schemas.microsoft.com/office/drawing/2014/chart" uri="{C3380CC4-5D6E-409C-BE32-E72D297353CC}">
              <c16:uniqueId val="{00000000-3376-4E75-A625-1663DA99D7BC}"/>
            </c:ext>
          </c:extLst>
        </c:ser>
        <c:dLbls>
          <c:showLegendKey val="0"/>
          <c:showVal val="0"/>
          <c:showCatName val="0"/>
          <c:showSerName val="0"/>
          <c:showPercent val="0"/>
          <c:showBubbleSize val="0"/>
        </c:dLbls>
        <c:smooth val="0"/>
        <c:axId val="2130436320"/>
        <c:axId val="2130439232"/>
      </c:lineChart>
      <c:catAx>
        <c:axId val="2130436320"/>
        <c:scaling>
          <c:orientation val="minMax"/>
        </c:scaling>
        <c:delete val="0"/>
        <c:axPos val="b"/>
        <c:numFmt formatCode="General" sourceLinked="1"/>
        <c:majorTickMark val="out"/>
        <c:minorTickMark val="none"/>
        <c:tickLblPos val="nextTo"/>
        <c:crossAx val="2130439232"/>
        <c:crosses val="autoZero"/>
        <c:auto val="1"/>
        <c:lblAlgn val="ctr"/>
        <c:lblOffset val="100"/>
        <c:noMultiLvlLbl val="0"/>
      </c:catAx>
      <c:valAx>
        <c:axId val="2130439232"/>
        <c:scaling>
          <c:orientation val="minMax"/>
        </c:scaling>
        <c:delete val="0"/>
        <c:axPos val="l"/>
        <c:majorGridlines>
          <c:spPr>
            <a:ln>
              <a:solidFill>
                <a:schemeClr val="bg1"/>
              </a:solidFill>
            </a:ln>
          </c:spPr>
        </c:majorGridlines>
        <c:numFmt formatCode="0%" sourceLinked="1"/>
        <c:majorTickMark val="out"/>
        <c:minorTickMark val="none"/>
        <c:tickLblPos val="nextTo"/>
        <c:crossAx val="2130436320"/>
        <c:crosses val="autoZero"/>
        <c:crossBetween val="between"/>
      </c:valAx>
    </c:plotArea>
    <c:legend>
      <c:legendPos val="r"/>
      <c:layout>
        <c:manualLayout>
          <c:xMode val="edge"/>
          <c:yMode val="edge"/>
          <c:x val="0.40286067366579198"/>
          <c:y val="2.75856663750364E-2"/>
          <c:w val="0.20677920867368199"/>
          <c:h val="8.3017120498508304E-2"/>
        </c:manualLayout>
      </c:layout>
      <c:overlay val="0"/>
    </c:legend>
    <c:plotVisOnly val="1"/>
    <c:dispBlanksAs val="gap"/>
    <c:showDLblsOverMax val="0"/>
  </c:chart>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849518810148703E-2"/>
          <c:y val="5.1400554097404502E-2"/>
          <c:w val="0.88045559930008799"/>
          <c:h val="0.87918952635131098"/>
        </c:manualLayout>
      </c:layout>
      <c:lineChart>
        <c:grouping val="standard"/>
        <c:varyColors val="0"/>
        <c:ser>
          <c:idx val="0"/>
          <c:order val="0"/>
          <c:tx>
            <c:strRef>
              <c:f>Base_Graficos!$CK$2</c:f>
              <c:strCache>
                <c:ptCount val="1"/>
                <c:pt idx="0">
                  <c:v>GDP Growth </c:v>
                </c:pt>
              </c:strCache>
            </c:strRef>
          </c:tx>
          <c:marker>
            <c:symbol val="none"/>
          </c:marker>
          <c:cat>
            <c:numRef>
              <c:f>Base_Graficos!$A$33:$A$46</c:f>
              <c:numCache>
                <c:formatCode>General</c:formatCode>
                <c:ptCount val="1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numCache>
            </c:numRef>
          </c:cat>
          <c:val>
            <c:numRef>
              <c:f>Base_Graficos!$CK$33:$CK$46</c:f>
              <c:numCache>
                <c:formatCode>0%</c:formatCode>
                <c:ptCount val="14"/>
                <c:pt idx="0">
                  <c:v>4.1232828795816134E-2</c:v>
                </c:pt>
                <c:pt idx="1">
                  <c:v>3.4936501550678623E-2</c:v>
                </c:pt>
                <c:pt idx="2">
                  <c:v>1.6964280112351293E-2</c:v>
                </c:pt>
                <c:pt idx="3">
                  <c:v>4.9363594147654899E-2</c:v>
                </c:pt>
                <c:pt idx="4">
                  <c:v>5.3179176601827249E-2</c:v>
                </c:pt>
                <c:pt idx="5">
                  <c:v>6.8228103036197751E-2</c:v>
                </c:pt>
                <c:pt idx="6">
                  <c:v>1.5737851317312535E-2</c:v>
                </c:pt>
                <c:pt idx="7">
                  <c:v>4.2425161027366265E-2</c:v>
                </c:pt>
                <c:pt idx="8">
                  <c:v>6.8037755757277552E-4</c:v>
                </c:pt>
                <c:pt idx="9">
                  <c:v>-1.3660797123859481E-2</c:v>
                </c:pt>
                <c:pt idx="10">
                  <c:v>-2.3141405682292504E-2</c:v>
                </c:pt>
                <c:pt idx="11">
                  <c:v>-8.340547167246859E-3</c:v>
                </c:pt>
                <c:pt idx="12">
                  <c:v>-2.1404395033330914E-4</c:v>
                </c:pt>
                <c:pt idx="13">
                  <c:v>4.3207454855496152E-2</c:v>
                </c:pt>
              </c:numCache>
            </c:numRef>
          </c:val>
          <c:smooth val="0"/>
          <c:extLst>
            <c:ext xmlns:c16="http://schemas.microsoft.com/office/drawing/2014/chart" uri="{C3380CC4-5D6E-409C-BE32-E72D297353CC}">
              <c16:uniqueId val="{00000000-3B7E-4322-AF36-D1D9FB4CE010}"/>
            </c:ext>
          </c:extLst>
        </c:ser>
        <c:dLbls>
          <c:showLegendKey val="0"/>
          <c:showVal val="0"/>
          <c:showCatName val="0"/>
          <c:showSerName val="0"/>
          <c:showPercent val="0"/>
          <c:showBubbleSize val="0"/>
        </c:dLbls>
        <c:smooth val="0"/>
        <c:axId val="2130466192"/>
        <c:axId val="2130469104"/>
      </c:lineChart>
      <c:catAx>
        <c:axId val="2130466192"/>
        <c:scaling>
          <c:orientation val="minMax"/>
        </c:scaling>
        <c:delete val="0"/>
        <c:axPos val="b"/>
        <c:numFmt formatCode="General" sourceLinked="1"/>
        <c:majorTickMark val="out"/>
        <c:minorTickMark val="none"/>
        <c:tickLblPos val="nextTo"/>
        <c:crossAx val="2130469104"/>
        <c:crosses val="autoZero"/>
        <c:auto val="1"/>
        <c:lblAlgn val="ctr"/>
        <c:lblOffset val="100"/>
        <c:noMultiLvlLbl val="0"/>
      </c:catAx>
      <c:valAx>
        <c:axId val="2130469104"/>
        <c:scaling>
          <c:orientation val="minMax"/>
        </c:scaling>
        <c:delete val="0"/>
        <c:axPos val="l"/>
        <c:majorGridlines>
          <c:spPr>
            <a:ln>
              <a:solidFill>
                <a:schemeClr val="bg1"/>
              </a:solidFill>
            </a:ln>
          </c:spPr>
        </c:majorGridlines>
        <c:numFmt formatCode="0%" sourceLinked="1"/>
        <c:majorTickMark val="out"/>
        <c:minorTickMark val="none"/>
        <c:tickLblPos val="nextTo"/>
        <c:crossAx val="2130466192"/>
        <c:crosses val="autoZero"/>
        <c:crossBetween val="between"/>
      </c:valAx>
    </c:plotArea>
    <c:legend>
      <c:legendPos val="r"/>
      <c:layout>
        <c:manualLayout>
          <c:xMode val="edge"/>
          <c:yMode val="edge"/>
          <c:x val="0.40286067366579198"/>
          <c:y val="2.75856663750364E-2"/>
          <c:w val="0.20677920867368199"/>
          <c:h val="8.3017120498508304E-2"/>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0482966972878401E-2"/>
          <c:y val="5.09260153456512E-2"/>
          <c:w val="0.90648416994750602"/>
          <c:h val="0.80964083622056904"/>
        </c:manualLayout>
      </c:layout>
      <c:lineChart>
        <c:grouping val="standard"/>
        <c:varyColors val="0"/>
        <c:ser>
          <c:idx val="0"/>
          <c:order val="0"/>
          <c:spPr>
            <a:ln>
              <a:solidFill>
                <a:sysClr val="windowText" lastClr="000000"/>
              </a:solidFill>
            </a:ln>
          </c:spPr>
          <c:marker>
            <c:symbol val="none"/>
          </c:marker>
          <c:cat>
            <c:numRef>
              <c:f>Debt!$B$6:$B$60</c:f>
              <c:numCache>
                <c:formatCode>General</c:formatCode>
                <c:ptCount val="55"/>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numCache>
            </c:numRef>
          </c:cat>
          <c:val>
            <c:numRef>
              <c:f>Debt!$H$6:$H$60</c:f>
              <c:numCache>
                <c:formatCode>#,##0.0</c:formatCode>
                <c:ptCount val="55"/>
                <c:pt idx="0">
                  <c:v>110.65749700598801</c:v>
                </c:pt>
                <c:pt idx="1">
                  <c:v>111.78968955223881</c:v>
                </c:pt>
                <c:pt idx="2">
                  <c:v>127.52865269461078</c:v>
                </c:pt>
                <c:pt idx="3">
                  <c:v>158.19348214285714</c:v>
                </c:pt>
                <c:pt idx="4">
                  <c:v>190.443613832853</c:v>
                </c:pt>
                <c:pt idx="5">
                  <c:v>279.17445762711867</c:v>
                </c:pt>
                <c:pt idx="6">
                  <c:v>351.73699999999997</c:v>
                </c:pt>
                <c:pt idx="7">
                  <c:v>414.04001078167113</c:v>
                </c:pt>
                <c:pt idx="8">
                  <c:v>478.3364575835476</c:v>
                </c:pt>
                <c:pt idx="9">
                  <c:v>527.11723115577888</c:v>
                </c:pt>
                <c:pt idx="10">
                  <c:v>558.87585401459842</c:v>
                </c:pt>
                <c:pt idx="11">
                  <c:v>579.32100702576111</c:v>
                </c:pt>
                <c:pt idx="12">
                  <c:v>600.66380672268906</c:v>
                </c:pt>
                <c:pt idx="13">
                  <c:v>600.16929787234051</c:v>
                </c:pt>
                <c:pt idx="14">
                  <c:v>807.66587021630619</c:v>
                </c:pt>
                <c:pt idx="15">
                  <c:v>875.91780769230775</c:v>
                </c:pt>
                <c:pt idx="16">
                  <c:v>1066.2358290854572</c:v>
                </c:pt>
                <c:pt idx="17">
                  <c:v>998.13665934065932</c:v>
                </c:pt>
                <c:pt idx="18">
                  <c:v>1063.6864233576639</c:v>
                </c:pt>
                <c:pt idx="19">
                  <c:v>984.32879084967317</c:v>
                </c:pt>
                <c:pt idx="20">
                  <c:v>1212.4519348931842</c:v>
                </c:pt>
                <c:pt idx="21">
                  <c:v>1497.0474872298623</c:v>
                </c:pt>
                <c:pt idx="22">
                  <c:v>1735.1192082111438</c:v>
                </c:pt>
                <c:pt idx="23">
                  <c:v>1853.5822500000002</c:v>
                </c:pt>
                <c:pt idx="24">
                  <c:v>2057.1687849056598</c:v>
                </c:pt>
                <c:pt idx="25">
                  <c:v>2351.3371563706569</c:v>
                </c:pt>
                <c:pt idx="26">
                  <c:v>2255.1624158790169</c:v>
                </c:pt>
                <c:pt idx="27">
                  <c:v>2389.4829272727275</c:v>
                </c:pt>
                <c:pt idx="28">
                  <c:v>1830.3608779220776</c:v>
                </c:pt>
                <c:pt idx="29">
                  <c:v>1698.4323934426229</c:v>
                </c:pt>
                <c:pt idx="30">
                  <c:v>1292.7143597710547</c:v>
                </c:pt>
                <c:pt idx="31">
                  <c:v>1241.0204541062801</c:v>
                </c:pt>
                <c:pt idx="32">
                  <c:v>1262.1958938906751</c:v>
                </c:pt>
                <c:pt idx="33">
                  <c:v>1406.789</c:v>
                </c:pt>
                <c:pt idx="34">
                  <c:v>1369.654361948956</c:v>
                </c:pt>
                <c:pt idx="35">
                  <c:v>1375.8390744920991</c:v>
                </c:pt>
                <c:pt idx="36">
                  <c:v>1540.9561232876711</c:v>
                </c:pt>
                <c:pt idx="37">
                  <c:v>2035.8851652703729</c:v>
                </c:pt>
                <c:pt idx="38">
                  <c:v>2092.1979674556219</c:v>
                </c:pt>
                <c:pt idx="39">
                  <c:v>1948.4749195729537</c:v>
                </c:pt>
                <c:pt idx="40">
                  <c:v>2094.4511347826083</c:v>
                </c:pt>
                <c:pt idx="41">
                  <c:v>2245.245109520401</c:v>
                </c:pt>
                <c:pt idx="42">
                  <c:v>2085.878526533425</c:v>
                </c:pt>
                <c:pt idx="43">
                  <c:v>1899.1162311756934</c:v>
                </c:pt>
                <c:pt idx="44">
                  <c:v>1768.9549887218045</c:v>
                </c:pt>
                <c:pt idx="45">
                  <c:v>1733.0526256983239</c:v>
                </c:pt>
                <c:pt idx="46">
                  <c:v>1647.346923704135</c:v>
                </c:pt>
                <c:pt idx="47">
                  <c:v>1668.7424266352389</c:v>
                </c:pt>
                <c:pt idx="48">
                  <c:v>1669.4794184076795</c:v>
                </c:pt>
                <c:pt idx="49">
                  <c:v>1571.9887597826087</c:v>
                </c:pt>
                <c:pt idx="50">
                  <c:v>1472.3310638297871</c:v>
                </c:pt>
                <c:pt idx="51">
                  <c:v>1735.2724270353301</c:v>
                </c:pt>
                <c:pt idx="52">
                  <c:v>2348.7715582450833</c:v>
                </c:pt>
                <c:pt idx="53">
                  <c:v>2568.667682926829</c:v>
                </c:pt>
                <c:pt idx="54">
                  <c:v>3192.8096234309623</c:v>
                </c:pt>
              </c:numCache>
            </c:numRef>
          </c:val>
          <c:smooth val="0"/>
          <c:extLst>
            <c:ext xmlns:c16="http://schemas.microsoft.com/office/drawing/2014/chart" uri="{C3380CC4-5D6E-409C-BE32-E72D297353CC}">
              <c16:uniqueId val="{00000000-60C1-4D32-83A2-1043B460DCEB}"/>
            </c:ext>
          </c:extLst>
        </c:ser>
        <c:dLbls>
          <c:showLegendKey val="0"/>
          <c:showVal val="0"/>
          <c:showCatName val="0"/>
          <c:showSerName val="0"/>
          <c:showPercent val="0"/>
          <c:showBubbleSize val="0"/>
        </c:dLbls>
        <c:smooth val="0"/>
        <c:axId val="2126674656"/>
        <c:axId val="2125563584"/>
      </c:lineChart>
      <c:catAx>
        <c:axId val="2126674656"/>
        <c:scaling>
          <c:orientation val="minMax"/>
        </c:scaling>
        <c:delete val="0"/>
        <c:axPos val="b"/>
        <c:numFmt formatCode="General" sourceLinked="1"/>
        <c:majorTickMark val="out"/>
        <c:minorTickMark val="none"/>
        <c:tickLblPos val="low"/>
        <c:txPr>
          <a:bodyPr rot="-5400000" vert="horz"/>
          <a:lstStyle/>
          <a:p>
            <a:pPr>
              <a:defRPr/>
            </a:pPr>
            <a:endParaRPr lang="en-US"/>
          </a:p>
        </c:txPr>
        <c:crossAx val="2125563584"/>
        <c:crosses val="autoZero"/>
        <c:auto val="1"/>
        <c:lblAlgn val="ctr"/>
        <c:lblOffset val="100"/>
        <c:noMultiLvlLbl val="0"/>
      </c:catAx>
      <c:valAx>
        <c:axId val="2125563584"/>
        <c:scaling>
          <c:orientation val="minMax"/>
        </c:scaling>
        <c:delete val="0"/>
        <c:axPos val="l"/>
        <c:title>
          <c:tx>
            <c:rich>
              <a:bodyPr/>
              <a:lstStyle/>
              <a:p>
                <a:pPr>
                  <a:defRPr/>
                </a:pPr>
                <a:r>
                  <a:rPr lang="es-AR"/>
                  <a:t>199 USD Million</a:t>
                </a:r>
              </a:p>
            </c:rich>
          </c:tx>
          <c:overlay val="0"/>
        </c:title>
        <c:numFmt formatCode="#,##0" sourceLinked="0"/>
        <c:majorTickMark val="out"/>
        <c:minorTickMark val="none"/>
        <c:tickLblPos val="nextTo"/>
        <c:crossAx val="2126674656"/>
        <c:crosses val="autoZero"/>
        <c:crossBetween val="between"/>
      </c:valAx>
    </c:plotArea>
    <c:plotVisOnly val="1"/>
    <c:dispBlanksAs val="gap"/>
    <c:showDLblsOverMax val="0"/>
  </c:chart>
  <c:spPr>
    <a:ln>
      <a:noFill/>
    </a:ln>
  </c:spPr>
  <c:txPr>
    <a:bodyPr/>
    <a:lstStyle/>
    <a:p>
      <a:pPr>
        <a:defRPr sz="1000">
          <a:latin typeface="Humanst521 BT" panose="020B0602020204020204" pitchFamily="34" charset="0"/>
        </a:defRPr>
      </a:pPr>
      <a:endParaRPr lang="en-U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849518810148703E-2"/>
          <c:y val="5.1400554097404502E-2"/>
          <c:w val="0.88045559930008799"/>
          <c:h val="0.851644035624055"/>
        </c:manualLayout>
      </c:layout>
      <c:lineChart>
        <c:grouping val="standard"/>
        <c:varyColors val="0"/>
        <c:ser>
          <c:idx val="0"/>
          <c:order val="0"/>
          <c:tx>
            <c:strRef>
              <c:f>Base_Graficos!$CK$2</c:f>
              <c:strCache>
                <c:ptCount val="1"/>
                <c:pt idx="0">
                  <c:v>GDP Growth </c:v>
                </c:pt>
              </c:strCache>
            </c:strRef>
          </c:tx>
          <c:marker>
            <c:symbol val="none"/>
          </c:marker>
          <c:cat>
            <c:numRef>
              <c:f>Base_Graficos!$A$47:$A$57</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Base_Graficos!$CK$47:$CK$57</c:f>
              <c:numCache>
                <c:formatCode>0%</c:formatCode>
                <c:ptCount val="11"/>
                <c:pt idx="0">
                  <c:v>4.0574183636285399E-2</c:v>
                </c:pt>
                <c:pt idx="1">
                  <c:v>2.133490664604043E-2</c:v>
                </c:pt>
                <c:pt idx="2">
                  <c:v>4.8071171927070777E-2</c:v>
                </c:pt>
                <c:pt idx="3">
                  <c:v>5.4216228722020476E-2</c:v>
                </c:pt>
                <c:pt idx="4">
                  <c:v>6.3591207932471194E-2</c:v>
                </c:pt>
                <c:pt idx="5">
                  <c:v>-3.9656954640880815E-2</c:v>
                </c:pt>
                <c:pt idx="6">
                  <c:v>0.13093001522724301</c:v>
                </c:pt>
                <c:pt idx="7">
                  <c:v>4.3424071936255082E-2</c:v>
                </c:pt>
                <c:pt idx="8">
                  <c:v>-1.2389678459293951E-2</c:v>
                </c:pt>
                <c:pt idx="9">
                  <c:v>0.14036276733804698</c:v>
                </c:pt>
                <c:pt idx="10">
                  <c:v>4.7223337450089442E-2</c:v>
                </c:pt>
              </c:numCache>
            </c:numRef>
          </c:val>
          <c:smooth val="0"/>
          <c:extLst>
            <c:ext xmlns:c16="http://schemas.microsoft.com/office/drawing/2014/chart" uri="{C3380CC4-5D6E-409C-BE32-E72D297353CC}">
              <c16:uniqueId val="{00000000-23B2-491C-9D9B-99C3D0BF5146}"/>
            </c:ext>
          </c:extLst>
        </c:ser>
        <c:dLbls>
          <c:showLegendKey val="0"/>
          <c:showVal val="0"/>
          <c:showCatName val="0"/>
          <c:showSerName val="0"/>
          <c:showPercent val="0"/>
          <c:showBubbleSize val="0"/>
        </c:dLbls>
        <c:smooth val="0"/>
        <c:axId val="2130495936"/>
        <c:axId val="2130498848"/>
      </c:lineChart>
      <c:catAx>
        <c:axId val="2130495936"/>
        <c:scaling>
          <c:orientation val="minMax"/>
        </c:scaling>
        <c:delete val="0"/>
        <c:axPos val="b"/>
        <c:numFmt formatCode="General" sourceLinked="1"/>
        <c:majorTickMark val="out"/>
        <c:minorTickMark val="none"/>
        <c:tickLblPos val="nextTo"/>
        <c:crossAx val="2130498848"/>
        <c:crosses val="autoZero"/>
        <c:auto val="1"/>
        <c:lblAlgn val="ctr"/>
        <c:lblOffset val="100"/>
        <c:noMultiLvlLbl val="0"/>
      </c:catAx>
      <c:valAx>
        <c:axId val="2130498848"/>
        <c:scaling>
          <c:orientation val="minMax"/>
        </c:scaling>
        <c:delete val="0"/>
        <c:axPos val="l"/>
        <c:majorGridlines>
          <c:spPr>
            <a:ln>
              <a:solidFill>
                <a:schemeClr val="bg1"/>
              </a:solidFill>
            </a:ln>
          </c:spPr>
        </c:majorGridlines>
        <c:numFmt formatCode="0%" sourceLinked="1"/>
        <c:majorTickMark val="out"/>
        <c:minorTickMark val="none"/>
        <c:tickLblPos val="nextTo"/>
        <c:crossAx val="2130495936"/>
        <c:crosses val="autoZero"/>
        <c:crossBetween val="between"/>
      </c:valAx>
    </c:plotArea>
    <c:legend>
      <c:legendPos val="r"/>
      <c:layout>
        <c:manualLayout>
          <c:xMode val="edge"/>
          <c:yMode val="edge"/>
          <c:x val="0.40286067366579198"/>
          <c:y val="2.75856663750364E-2"/>
          <c:w val="0.20677920867368199"/>
          <c:h val="8.3017120498508304E-2"/>
        </c:manualLayout>
      </c:layout>
      <c:overlay val="0"/>
    </c:legend>
    <c:plotVisOnly val="1"/>
    <c:dispBlanksAs val="gap"/>
    <c:showDLblsOverMax val="0"/>
  </c:chart>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marker>
            <c:symbol val="none"/>
          </c:marker>
          <c:val>
            <c:numRef>
              <c:f>#REF!</c:f>
              <c:numCache>
                <c:formatCode>General</c:formatCode>
                <c:ptCount val="1"/>
                <c:pt idx="0">
                  <c:v>1</c:v>
                </c:pt>
              </c:numCache>
            </c:numRef>
          </c:val>
          <c:smooth val="0"/>
          <c:extLst>
            <c:ext xmlns:c16="http://schemas.microsoft.com/office/drawing/2014/chart" uri="{C3380CC4-5D6E-409C-BE32-E72D297353CC}">
              <c16:uniqueId val="{00000000-3816-467B-9235-1D630860EE27}"/>
            </c:ext>
          </c:extLst>
        </c:ser>
        <c:ser>
          <c:idx val="2"/>
          <c:order val="1"/>
          <c:marker>
            <c:symbol val="none"/>
          </c:marker>
          <c:val>
            <c:numRef>
              <c:f>#REF!</c:f>
              <c:numCache>
                <c:formatCode>General</c:formatCode>
                <c:ptCount val="1"/>
                <c:pt idx="0">
                  <c:v>1</c:v>
                </c:pt>
              </c:numCache>
            </c:numRef>
          </c:val>
          <c:smooth val="0"/>
          <c:extLst>
            <c:ext xmlns:c16="http://schemas.microsoft.com/office/drawing/2014/chart" uri="{C3380CC4-5D6E-409C-BE32-E72D297353CC}">
              <c16:uniqueId val="{00000001-3816-467B-9235-1D630860EE27}"/>
            </c:ext>
          </c:extLst>
        </c:ser>
        <c:ser>
          <c:idx val="3"/>
          <c:order val="2"/>
          <c:marker>
            <c:symbol val="none"/>
          </c:marker>
          <c:val>
            <c:numRef>
              <c:f>#REF!</c:f>
              <c:numCache>
                <c:formatCode>General</c:formatCode>
                <c:ptCount val="1"/>
                <c:pt idx="0">
                  <c:v>1</c:v>
                </c:pt>
              </c:numCache>
            </c:numRef>
          </c:val>
          <c:smooth val="0"/>
          <c:extLst>
            <c:ext xmlns:c16="http://schemas.microsoft.com/office/drawing/2014/chart" uri="{C3380CC4-5D6E-409C-BE32-E72D297353CC}">
              <c16:uniqueId val="{00000002-3816-467B-9235-1D630860EE27}"/>
            </c:ext>
          </c:extLst>
        </c:ser>
        <c:ser>
          <c:idx val="4"/>
          <c:order val="3"/>
          <c:marker>
            <c:symbol val="none"/>
          </c:marker>
          <c:val>
            <c:numRef>
              <c:f>#REF!</c:f>
              <c:numCache>
                <c:formatCode>General</c:formatCode>
                <c:ptCount val="1"/>
                <c:pt idx="0">
                  <c:v>1</c:v>
                </c:pt>
              </c:numCache>
            </c:numRef>
          </c:val>
          <c:smooth val="0"/>
          <c:extLst>
            <c:ext xmlns:c16="http://schemas.microsoft.com/office/drawing/2014/chart" uri="{C3380CC4-5D6E-409C-BE32-E72D297353CC}">
              <c16:uniqueId val="{00000003-3816-467B-9235-1D630860EE27}"/>
            </c:ext>
          </c:extLst>
        </c:ser>
        <c:ser>
          <c:idx val="5"/>
          <c:order val="4"/>
          <c:marker>
            <c:symbol val="none"/>
          </c:marker>
          <c:val>
            <c:numRef>
              <c:f>#REF!</c:f>
              <c:numCache>
                <c:formatCode>General</c:formatCode>
                <c:ptCount val="1"/>
                <c:pt idx="0">
                  <c:v>1</c:v>
                </c:pt>
              </c:numCache>
            </c:numRef>
          </c:val>
          <c:smooth val="0"/>
          <c:extLst>
            <c:ext xmlns:c16="http://schemas.microsoft.com/office/drawing/2014/chart" uri="{C3380CC4-5D6E-409C-BE32-E72D297353CC}">
              <c16:uniqueId val="{00000004-3816-467B-9235-1D630860EE27}"/>
            </c:ext>
          </c:extLst>
        </c:ser>
        <c:ser>
          <c:idx val="6"/>
          <c:order val="5"/>
          <c:marker>
            <c:symbol val="none"/>
          </c:marker>
          <c:val>
            <c:numRef>
              <c:f>#REF!</c:f>
              <c:numCache>
                <c:formatCode>General</c:formatCode>
                <c:ptCount val="1"/>
                <c:pt idx="0">
                  <c:v>1</c:v>
                </c:pt>
              </c:numCache>
            </c:numRef>
          </c:val>
          <c:smooth val="0"/>
          <c:extLst>
            <c:ext xmlns:c16="http://schemas.microsoft.com/office/drawing/2014/chart" uri="{C3380CC4-5D6E-409C-BE32-E72D297353CC}">
              <c16:uniqueId val="{00000005-3816-467B-9235-1D630860EE27}"/>
            </c:ext>
          </c:extLst>
        </c:ser>
        <c:dLbls>
          <c:showLegendKey val="0"/>
          <c:showVal val="0"/>
          <c:showCatName val="0"/>
          <c:showSerName val="0"/>
          <c:showPercent val="0"/>
          <c:showBubbleSize val="0"/>
        </c:dLbls>
        <c:smooth val="0"/>
        <c:axId val="2130546368"/>
        <c:axId val="2130549152"/>
      </c:lineChart>
      <c:catAx>
        <c:axId val="2130546368"/>
        <c:scaling>
          <c:orientation val="minMax"/>
        </c:scaling>
        <c:delete val="0"/>
        <c:axPos val="b"/>
        <c:majorTickMark val="out"/>
        <c:minorTickMark val="none"/>
        <c:tickLblPos val="nextTo"/>
        <c:crossAx val="2130549152"/>
        <c:crosses val="autoZero"/>
        <c:auto val="1"/>
        <c:lblAlgn val="ctr"/>
        <c:lblOffset val="100"/>
        <c:noMultiLvlLbl val="0"/>
      </c:catAx>
      <c:valAx>
        <c:axId val="2130549152"/>
        <c:scaling>
          <c:orientation val="minMax"/>
        </c:scaling>
        <c:delete val="0"/>
        <c:axPos val="l"/>
        <c:majorGridlines/>
        <c:numFmt formatCode="General" sourceLinked="1"/>
        <c:majorTickMark val="out"/>
        <c:minorTickMark val="none"/>
        <c:tickLblPos val="nextTo"/>
        <c:crossAx val="2130546368"/>
        <c:crosses val="autoZero"/>
        <c:crossBetween val="between"/>
      </c:valAx>
    </c:plotArea>
    <c:plotVisOnly val="1"/>
    <c:dispBlanksAs val="gap"/>
    <c:showDLblsOverMax val="0"/>
  </c:chart>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210130450111706E-2"/>
          <c:y val="4.6624762291485301E-2"/>
          <c:w val="0.91146908875196497"/>
          <c:h val="0.80296291201569203"/>
        </c:manualLayout>
      </c:layout>
      <c:lineChart>
        <c:grouping val="standard"/>
        <c:varyColors val="0"/>
        <c:ser>
          <c:idx val="0"/>
          <c:order val="0"/>
          <c:spPr>
            <a:ln w="38100"/>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xmlns:c16="http://schemas.microsoft.com/office/drawing/2014/chart">
                      <c:ext uri="{02D57815-91ED-43cb-92C2-25804820EDAC}">
                        <c15:formulaRef>
                          <c15:sqref>#REF!</c15:sqref>
                        </c15:formulaRef>
                      </c:ext>
                    </c:extLst>
                  </c:multiLvlStrRef>
                </c15:cat>
              </c15:filteredCategoryTitle>
            </c:ext>
            <c:ext xmlns:c16="http://schemas.microsoft.com/office/drawing/2014/chart" uri="{C3380CC4-5D6E-409C-BE32-E72D297353CC}">
              <c16:uniqueId val="{00000000-1E3D-4D94-A3FE-CDFDDC42B09D}"/>
            </c:ext>
          </c:extLst>
        </c:ser>
        <c:dLbls>
          <c:showLegendKey val="0"/>
          <c:showVal val="0"/>
          <c:showCatName val="0"/>
          <c:showSerName val="0"/>
          <c:showPercent val="0"/>
          <c:showBubbleSize val="0"/>
        </c:dLbls>
        <c:smooth val="0"/>
        <c:axId val="2130572560"/>
        <c:axId val="2130575344"/>
      </c:lineChart>
      <c:catAx>
        <c:axId val="2130572560"/>
        <c:scaling>
          <c:orientation val="minMax"/>
        </c:scaling>
        <c:delete val="0"/>
        <c:axPos val="b"/>
        <c:numFmt formatCode="General" sourceLinked="1"/>
        <c:majorTickMark val="out"/>
        <c:minorTickMark val="none"/>
        <c:tickLblPos val="nextTo"/>
        <c:crossAx val="2130575344"/>
        <c:crosses val="autoZero"/>
        <c:auto val="1"/>
        <c:lblAlgn val="ctr"/>
        <c:lblOffset val="100"/>
        <c:noMultiLvlLbl val="0"/>
      </c:catAx>
      <c:valAx>
        <c:axId val="2130575344"/>
        <c:scaling>
          <c:orientation val="minMax"/>
          <c:min val="70"/>
        </c:scaling>
        <c:delete val="0"/>
        <c:axPos val="l"/>
        <c:majorGridlines>
          <c:spPr>
            <a:ln>
              <a:solidFill>
                <a:schemeClr val="bg1"/>
              </a:solidFill>
            </a:ln>
          </c:spPr>
        </c:majorGridlines>
        <c:numFmt formatCode="General" sourceLinked="1"/>
        <c:majorTickMark val="out"/>
        <c:minorTickMark val="none"/>
        <c:tickLblPos val="nextTo"/>
        <c:crossAx val="2130572560"/>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602036447571698E-2"/>
          <c:y val="4.5901882699239803E-2"/>
          <c:w val="0.91684890452523204"/>
          <c:h val="0.81714056161621795"/>
        </c:manualLayout>
      </c:layout>
      <c:lineChart>
        <c:grouping val="standard"/>
        <c:varyColors val="0"/>
        <c:ser>
          <c:idx val="0"/>
          <c:order val="0"/>
          <c:tx>
            <c:v>Real Exchange Rate</c:v>
          </c:tx>
          <c:spPr>
            <a:ln w="38100"/>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xmlns:c16="http://schemas.microsoft.com/office/drawing/2014/chart">
                      <c:ext uri="{02D57815-91ED-43cb-92C2-25804820EDAC}">
                        <c15:formulaRef>
                          <c15:sqref>#REF!</c15:sqref>
                        </c15:formulaRef>
                      </c:ext>
                    </c:extLst>
                  </c:multiLvlStrRef>
                </c15:cat>
              </c15:filteredCategoryTitle>
            </c:ext>
            <c:ext xmlns:c16="http://schemas.microsoft.com/office/drawing/2014/chart" uri="{C3380CC4-5D6E-409C-BE32-E72D297353CC}">
              <c16:uniqueId val="{00000000-FD7D-4E3A-B492-FE0E4651A5D4}"/>
            </c:ext>
          </c:extLst>
        </c:ser>
        <c:dLbls>
          <c:showLegendKey val="0"/>
          <c:showVal val="0"/>
          <c:showCatName val="0"/>
          <c:showSerName val="0"/>
          <c:showPercent val="0"/>
          <c:showBubbleSize val="0"/>
        </c:dLbls>
        <c:smooth val="0"/>
        <c:axId val="2127699456"/>
        <c:axId val="2127696656"/>
      </c:lineChart>
      <c:catAx>
        <c:axId val="2127699456"/>
        <c:scaling>
          <c:orientation val="minMax"/>
        </c:scaling>
        <c:delete val="0"/>
        <c:axPos val="b"/>
        <c:numFmt formatCode="General" sourceLinked="1"/>
        <c:majorTickMark val="out"/>
        <c:minorTickMark val="none"/>
        <c:tickLblPos val="nextTo"/>
        <c:crossAx val="2127696656"/>
        <c:crosses val="autoZero"/>
        <c:auto val="1"/>
        <c:lblAlgn val="ctr"/>
        <c:lblOffset val="100"/>
        <c:noMultiLvlLbl val="0"/>
      </c:catAx>
      <c:valAx>
        <c:axId val="2127696656"/>
        <c:scaling>
          <c:orientation val="minMax"/>
        </c:scaling>
        <c:delete val="0"/>
        <c:axPos val="l"/>
        <c:majorGridlines>
          <c:spPr>
            <a:ln>
              <a:solidFill>
                <a:schemeClr val="bg1"/>
              </a:solidFill>
            </a:ln>
          </c:spPr>
        </c:majorGridlines>
        <c:numFmt formatCode="General" sourceLinked="1"/>
        <c:majorTickMark val="out"/>
        <c:minorTickMark val="none"/>
        <c:tickLblPos val="nextTo"/>
        <c:crossAx val="2127699456"/>
        <c:crosses val="autoZero"/>
        <c:crossBetween val="between"/>
      </c:valAx>
    </c:plotArea>
    <c:legend>
      <c:legendPos val="r"/>
      <c:layout>
        <c:manualLayout>
          <c:xMode val="edge"/>
          <c:yMode val="edge"/>
          <c:x val="7.7891625248971599E-2"/>
          <c:y val="4.5436685110714803E-2"/>
          <c:w val="0.20509862086533401"/>
          <c:h val="7.6916558764956899E-2"/>
        </c:manualLayout>
      </c:layout>
      <c:overlay val="0"/>
    </c:legend>
    <c:plotVisOnly val="1"/>
    <c:dispBlanksAs val="gap"/>
    <c:showDLblsOverMax val="0"/>
  </c:chart>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303610039471502E-2"/>
          <c:y val="2.8226601386014301E-2"/>
          <c:w val="0.90996133984024796"/>
          <c:h val="0.87221393662235802"/>
        </c:manualLayout>
      </c:layout>
      <c:lineChart>
        <c:grouping val="standard"/>
        <c:varyColors val="0"/>
        <c:ser>
          <c:idx val="1"/>
          <c:order val="0"/>
          <c:tx>
            <c:strRef>
              <c:f>Commodities!$C$3</c:f>
              <c:strCache>
                <c:ptCount val="1"/>
                <c:pt idx="0">
                  <c:v>Soja</c:v>
                </c:pt>
              </c:strCache>
            </c:strRef>
          </c:tx>
          <c:spPr>
            <a:ln>
              <a:solidFill>
                <a:srgbClr val="C00000"/>
              </a:solidFill>
            </a:ln>
          </c:spPr>
          <c:marker>
            <c:symbol val="none"/>
          </c:marker>
          <c:cat>
            <c:numRef>
              <c:f>Commodities!$B$4:$B$33</c:f>
              <c:numCache>
                <c:formatCode>General</c:formatCode>
                <c:ptCount val="30"/>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numCache>
            </c:numRef>
          </c:cat>
          <c:val>
            <c:numRef>
              <c:f>Commodities!$C$4:$C$33</c:f>
              <c:numCache>
                <c:formatCode>0</c:formatCode>
                <c:ptCount val="30"/>
                <c:pt idx="0">
                  <c:v>102</c:v>
                </c:pt>
                <c:pt idx="1">
                  <c:v>92</c:v>
                </c:pt>
                <c:pt idx="2">
                  <c:v>101</c:v>
                </c:pt>
                <c:pt idx="3">
                  <c:v>101</c:v>
                </c:pt>
                <c:pt idx="4">
                  <c:v>107.33333333333333</c:v>
                </c:pt>
                <c:pt idx="5">
                  <c:v>115.91666666666667</c:v>
                </c:pt>
                <c:pt idx="6">
                  <c:v>103.25</c:v>
                </c:pt>
                <c:pt idx="7">
                  <c:v>97.166666666666671</c:v>
                </c:pt>
                <c:pt idx="8">
                  <c:v>94.416666666666671</c:v>
                </c:pt>
                <c:pt idx="9">
                  <c:v>107.33333333333333</c:v>
                </c:pt>
                <c:pt idx="10">
                  <c:v>115.41666666666667</c:v>
                </c:pt>
                <c:pt idx="11">
                  <c:v>128.66666666666666</c:v>
                </c:pt>
                <c:pt idx="12">
                  <c:v>266.5</c:v>
                </c:pt>
                <c:pt idx="13">
                  <c:v>254.16666666666666</c:v>
                </c:pt>
                <c:pt idx="14">
                  <c:v>201.08333333333334</c:v>
                </c:pt>
                <c:pt idx="15">
                  <c:v>216.5</c:v>
                </c:pt>
                <c:pt idx="16">
                  <c:v>261.16666666666669</c:v>
                </c:pt>
                <c:pt idx="17">
                  <c:v>242.58333333333334</c:v>
                </c:pt>
                <c:pt idx="18">
                  <c:v>264.33333333333331</c:v>
                </c:pt>
                <c:pt idx="19">
                  <c:v>265.33333333333331</c:v>
                </c:pt>
                <c:pt idx="20">
                  <c:v>261.3</c:v>
                </c:pt>
                <c:pt idx="21">
                  <c:v>221.2</c:v>
                </c:pt>
                <c:pt idx="22">
                  <c:v>259.5</c:v>
                </c:pt>
                <c:pt idx="23">
                  <c:v>257.5</c:v>
                </c:pt>
                <c:pt idx="24">
                  <c:v>203.2</c:v>
                </c:pt>
                <c:pt idx="25">
                  <c:v>188.9</c:v>
                </c:pt>
                <c:pt idx="26">
                  <c:v>195.6</c:v>
                </c:pt>
                <c:pt idx="27">
                  <c:v>279.67</c:v>
                </c:pt>
                <c:pt idx="28">
                  <c:v>247</c:v>
                </c:pt>
                <c:pt idx="29">
                  <c:v>219.1</c:v>
                </c:pt>
              </c:numCache>
            </c:numRef>
          </c:val>
          <c:smooth val="0"/>
          <c:extLst>
            <c:ext xmlns:c16="http://schemas.microsoft.com/office/drawing/2014/chart" uri="{C3380CC4-5D6E-409C-BE32-E72D297353CC}">
              <c16:uniqueId val="{00000000-499F-43EB-B47D-C9CB42DB4C28}"/>
            </c:ext>
          </c:extLst>
        </c:ser>
        <c:ser>
          <c:idx val="3"/>
          <c:order val="2"/>
          <c:tx>
            <c:strRef>
              <c:f>Commodities!$E$3</c:f>
              <c:strCache>
                <c:ptCount val="1"/>
                <c:pt idx="0">
                  <c:v>Maíz</c:v>
                </c:pt>
              </c:strCache>
            </c:strRef>
          </c:tx>
          <c:spPr>
            <a:ln>
              <a:solidFill>
                <a:srgbClr val="FFC000"/>
              </a:solidFill>
            </a:ln>
          </c:spPr>
          <c:marker>
            <c:symbol val="none"/>
          </c:marker>
          <c:cat>
            <c:numRef>
              <c:f>Commodities!$B$4:$B$33</c:f>
              <c:numCache>
                <c:formatCode>General</c:formatCode>
                <c:ptCount val="30"/>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numCache>
            </c:numRef>
          </c:cat>
          <c:val>
            <c:numRef>
              <c:f>Commodities!$E$4:$E$33</c:f>
              <c:numCache>
                <c:formatCode>0</c:formatCode>
                <c:ptCount val="30"/>
                <c:pt idx="0">
                  <c:v>47.7</c:v>
                </c:pt>
                <c:pt idx="1">
                  <c:v>48.65</c:v>
                </c:pt>
                <c:pt idx="2">
                  <c:v>53.77</c:v>
                </c:pt>
                <c:pt idx="3">
                  <c:v>54.72</c:v>
                </c:pt>
                <c:pt idx="4">
                  <c:v>55.25</c:v>
                </c:pt>
                <c:pt idx="5">
                  <c:v>58</c:v>
                </c:pt>
                <c:pt idx="6">
                  <c:v>54.16</c:v>
                </c:pt>
                <c:pt idx="7">
                  <c:v>47.51</c:v>
                </c:pt>
                <c:pt idx="8">
                  <c:v>51.97</c:v>
                </c:pt>
                <c:pt idx="9">
                  <c:v>58.26</c:v>
                </c:pt>
                <c:pt idx="10">
                  <c:v>58.3</c:v>
                </c:pt>
                <c:pt idx="11">
                  <c:v>55.74</c:v>
                </c:pt>
                <c:pt idx="12">
                  <c:v>97.47</c:v>
                </c:pt>
                <c:pt idx="13">
                  <c:v>132.38</c:v>
                </c:pt>
                <c:pt idx="14">
                  <c:v>119.55</c:v>
                </c:pt>
                <c:pt idx="15">
                  <c:v>112.26</c:v>
                </c:pt>
                <c:pt idx="16">
                  <c:v>95.37</c:v>
                </c:pt>
                <c:pt idx="17">
                  <c:v>100.75</c:v>
                </c:pt>
                <c:pt idx="18">
                  <c:v>115.58</c:v>
                </c:pt>
                <c:pt idx="19">
                  <c:v>125.72</c:v>
                </c:pt>
                <c:pt idx="20">
                  <c:v>130.6</c:v>
                </c:pt>
                <c:pt idx="21">
                  <c:v>108.1</c:v>
                </c:pt>
                <c:pt idx="22">
                  <c:v>136</c:v>
                </c:pt>
                <c:pt idx="23">
                  <c:v>135.80000000000001</c:v>
                </c:pt>
                <c:pt idx="24">
                  <c:v>112.3</c:v>
                </c:pt>
                <c:pt idx="25">
                  <c:v>87.8</c:v>
                </c:pt>
                <c:pt idx="26">
                  <c:v>75.5</c:v>
                </c:pt>
                <c:pt idx="27">
                  <c:v>107</c:v>
                </c:pt>
                <c:pt idx="28">
                  <c:v>111.4</c:v>
                </c:pt>
                <c:pt idx="29">
                  <c:v>109.3</c:v>
                </c:pt>
              </c:numCache>
            </c:numRef>
          </c:val>
          <c:smooth val="0"/>
          <c:extLst>
            <c:ext xmlns:c16="http://schemas.microsoft.com/office/drawing/2014/chart" uri="{C3380CC4-5D6E-409C-BE32-E72D297353CC}">
              <c16:uniqueId val="{00000001-499F-43EB-B47D-C9CB42DB4C28}"/>
            </c:ext>
          </c:extLst>
        </c:ser>
        <c:ser>
          <c:idx val="4"/>
          <c:order val="3"/>
          <c:tx>
            <c:strRef>
              <c:f>Commodities!$F$3</c:f>
              <c:strCache>
                <c:ptCount val="1"/>
                <c:pt idx="0">
                  <c:v>Trigo</c:v>
                </c:pt>
              </c:strCache>
            </c:strRef>
          </c:tx>
          <c:marker>
            <c:symbol val="none"/>
          </c:marker>
          <c:cat>
            <c:numRef>
              <c:f>Commodities!$B$4:$B$33</c:f>
              <c:numCache>
                <c:formatCode>General</c:formatCode>
                <c:ptCount val="30"/>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numCache>
            </c:numRef>
          </c:cat>
          <c:val>
            <c:numRef>
              <c:f>Commodities!$F$4:$F$33</c:f>
              <c:numCache>
                <c:formatCode>0</c:formatCode>
                <c:ptCount val="30"/>
                <c:pt idx="0">
                  <c:v>58.61</c:v>
                </c:pt>
                <c:pt idx="1">
                  <c:v>64.33</c:v>
                </c:pt>
                <c:pt idx="2">
                  <c:v>64.489999999999995</c:v>
                </c:pt>
                <c:pt idx="3">
                  <c:v>67.61</c:v>
                </c:pt>
                <c:pt idx="4">
                  <c:v>59.46</c:v>
                </c:pt>
                <c:pt idx="5">
                  <c:v>63</c:v>
                </c:pt>
                <c:pt idx="6">
                  <c:v>65.7</c:v>
                </c:pt>
                <c:pt idx="7">
                  <c:v>62.8</c:v>
                </c:pt>
                <c:pt idx="8">
                  <c:v>58.4</c:v>
                </c:pt>
                <c:pt idx="9">
                  <c:v>54.9</c:v>
                </c:pt>
                <c:pt idx="10">
                  <c:v>61.7</c:v>
                </c:pt>
                <c:pt idx="11">
                  <c:v>69.8</c:v>
                </c:pt>
                <c:pt idx="12">
                  <c:v>139.80000000000001</c:v>
                </c:pt>
                <c:pt idx="13">
                  <c:v>179.7</c:v>
                </c:pt>
                <c:pt idx="14">
                  <c:v>149.1</c:v>
                </c:pt>
                <c:pt idx="15">
                  <c:v>132.9</c:v>
                </c:pt>
                <c:pt idx="16">
                  <c:v>103.2</c:v>
                </c:pt>
                <c:pt idx="17">
                  <c:v>127.7</c:v>
                </c:pt>
                <c:pt idx="18">
                  <c:v>160.30000000000001</c:v>
                </c:pt>
                <c:pt idx="19">
                  <c:v>172.7</c:v>
                </c:pt>
                <c:pt idx="20">
                  <c:v>184</c:v>
                </c:pt>
                <c:pt idx="21">
                  <c:v>162.1</c:v>
                </c:pt>
                <c:pt idx="22">
                  <c:v>177.8</c:v>
                </c:pt>
                <c:pt idx="23">
                  <c:v>144.1</c:v>
                </c:pt>
                <c:pt idx="24">
                  <c:v>130.19999999999999</c:v>
                </c:pt>
                <c:pt idx="25">
                  <c:v>115.28</c:v>
                </c:pt>
                <c:pt idx="26">
                  <c:v>90.8</c:v>
                </c:pt>
                <c:pt idx="27">
                  <c:v>140.69</c:v>
                </c:pt>
                <c:pt idx="28">
                  <c:v>167.19</c:v>
                </c:pt>
                <c:pt idx="29">
                  <c:v>134.1</c:v>
                </c:pt>
              </c:numCache>
            </c:numRef>
          </c:val>
          <c:smooth val="0"/>
          <c:extLst>
            <c:ext xmlns:c16="http://schemas.microsoft.com/office/drawing/2014/chart" uri="{C3380CC4-5D6E-409C-BE32-E72D297353CC}">
              <c16:uniqueId val="{00000002-499F-43EB-B47D-C9CB42DB4C28}"/>
            </c:ext>
          </c:extLst>
        </c:ser>
        <c:dLbls>
          <c:showLegendKey val="0"/>
          <c:showVal val="0"/>
          <c:showCatName val="0"/>
          <c:showSerName val="0"/>
          <c:showPercent val="0"/>
          <c:showBubbleSize val="0"/>
        </c:dLbls>
        <c:marker val="1"/>
        <c:smooth val="0"/>
        <c:axId val="2130686160"/>
        <c:axId val="2130689136"/>
      </c:lineChart>
      <c:lineChart>
        <c:grouping val="standard"/>
        <c:varyColors val="0"/>
        <c:ser>
          <c:idx val="2"/>
          <c:order val="1"/>
          <c:tx>
            <c:strRef>
              <c:f>Commodities!$D$3</c:f>
              <c:strCache>
                <c:ptCount val="1"/>
                <c:pt idx="0">
                  <c:v>Algodón (Eje Derecho)</c:v>
                </c:pt>
              </c:strCache>
            </c:strRef>
          </c:tx>
          <c:spPr>
            <a:ln>
              <a:solidFill>
                <a:schemeClr val="accent3">
                  <a:lumMod val="75000"/>
                </a:schemeClr>
              </a:solidFill>
            </a:ln>
          </c:spPr>
          <c:marker>
            <c:symbol val="none"/>
          </c:marker>
          <c:cat>
            <c:numRef>
              <c:f>Commodities!$B$11:$B$33</c:f>
              <c:numCache>
                <c:formatCode>General</c:formatCode>
                <c:ptCount val="23"/>
                <c:pt idx="0">
                  <c:v>1968</c:v>
                </c:pt>
                <c:pt idx="1">
                  <c:v>1969</c:v>
                </c:pt>
                <c:pt idx="2">
                  <c:v>1970</c:v>
                </c:pt>
                <c:pt idx="3">
                  <c:v>1971</c:v>
                </c:pt>
                <c:pt idx="4">
                  <c:v>1972</c:v>
                </c:pt>
                <c:pt idx="5">
                  <c:v>1973</c:v>
                </c:pt>
                <c:pt idx="6">
                  <c:v>1974</c:v>
                </c:pt>
                <c:pt idx="7">
                  <c:v>1975</c:v>
                </c:pt>
                <c:pt idx="8">
                  <c:v>1976</c:v>
                </c:pt>
                <c:pt idx="9">
                  <c:v>1977</c:v>
                </c:pt>
                <c:pt idx="10">
                  <c:v>1978</c:v>
                </c:pt>
                <c:pt idx="11">
                  <c:v>1979</c:v>
                </c:pt>
                <c:pt idx="12">
                  <c:v>1980</c:v>
                </c:pt>
                <c:pt idx="13">
                  <c:v>1981</c:v>
                </c:pt>
                <c:pt idx="14">
                  <c:v>1982</c:v>
                </c:pt>
                <c:pt idx="15">
                  <c:v>1983</c:v>
                </c:pt>
                <c:pt idx="16">
                  <c:v>1984</c:v>
                </c:pt>
                <c:pt idx="17">
                  <c:v>1985</c:v>
                </c:pt>
                <c:pt idx="18">
                  <c:v>1986</c:v>
                </c:pt>
                <c:pt idx="19">
                  <c:v>1987</c:v>
                </c:pt>
                <c:pt idx="20">
                  <c:v>1988</c:v>
                </c:pt>
                <c:pt idx="21">
                  <c:v>1989</c:v>
                </c:pt>
                <c:pt idx="22">
                  <c:v>1990</c:v>
                </c:pt>
              </c:numCache>
            </c:numRef>
          </c:cat>
          <c:val>
            <c:numRef>
              <c:f>Commodities!$D$4:$D$33</c:f>
              <c:numCache>
                <c:formatCode>0</c:formatCode>
                <c:ptCount val="30"/>
                <c:pt idx="0">
                  <c:v>642.95321833333321</c:v>
                </c:pt>
                <c:pt idx="1">
                  <c:v>627.24544333333336</c:v>
                </c:pt>
                <c:pt idx="2">
                  <c:v>644.71689833333335</c:v>
                </c:pt>
                <c:pt idx="3">
                  <c:v>650.26514166666664</c:v>
                </c:pt>
                <c:pt idx="4">
                  <c:v>635.71478166666657</c:v>
                </c:pt>
                <c:pt idx="5">
                  <c:v>622.54229666666652</c:v>
                </c:pt>
                <c:pt idx="6">
                  <c:v>676.51825333333329</c:v>
                </c:pt>
                <c:pt idx="7">
                  <c:v>678.02473000000009</c:v>
                </c:pt>
                <c:pt idx="8">
                  <c:v>613.48506499999996</c:v>
                </c:pt>
                <c:pt idx="9">
                  <c:v>637.75403666666671</c:v>
                </c:pt>
                <c:pt idx="10">
                  <c:v>746.99955856633335</c:v>
                </c:pt>
                <c:pt idx="11">
                  <c:v>799.39608441559994</c:v>
                </c:pt>
                <c:pt idx="12">
                  <c:v>1368.7765644718665</c:v>
                </c:pt>
                <c:pt idx="13">
                  <c:v>1435.8522011744169</c:v>
                </c:pt>
                <c:pt idx="14">
                  <c:v>1170.3421760784834</c:v>
                </c:pt>
                <c:pt idx="15">
                  <c:v>1702.8319745410165</c:v>
                </c:pt>
                <c:pt idx="16">
                  <c:v>1572.4469310795</c:v>
                </c:pt>
                <c:pt idx="17">
                  <c:v>1586.2074492636168</c:v>
                </c:pt>
                <c:pt idx="18">
                  <c:v>1700.6457239884001</c:v>
                </c:pt>
                <c:pt idx="19">
                  <c:v>2066.4660685573335</c:v>
                </c:pt>
                <c:pt idx="20">
                  <c:v>1849.6782573640003</c:v>
                </c:pt>
                <c:pt idx="21">
                  <c:v>1598.3512951</c:v>
                </c:pt>
                <c:pt idx="22">
                  <c:v>1853.8670400684002</c:v>
                </c:pt>
                <c:pt idx="23">
                  <c:v>1783.5395830840002</c:v>
                </c:pt>
                <c:pt idx="24">
                  <c:v>1320.568863124</c:v>
                </c:pt>
                <c:pt idx="25">
                  <c:v>1056.0141660040001</c:v>
                </c:pt>
                <c:pt idx="26">
                  <c:v>1649.057612048</c:v>
                </c:pt>
                <c:pt idx="27">
                  <c:v>1399.9352722600001</c:v>
                </c:pt>
                <c:pt idx="28">
                  <c:v>1673.3084592840003</c:v>
                </c:pt>
                <c:pt idx="29">
                  <c:v>1821.0181651759999</c:v>
                </c:pt>
              </c:numCache>
            </c:numRef>
          </c:val>
          <c:smooth val="0"/>
          <c:extLst>
            <c:ext xmlns:c16="http://schemas.microsoft.com/office/drawing/2014/chart" uri="{C3380CC4-5D6E-409C-BE32-E72D297353CC}">
              <c16:uniqueId val="{00000003-499F-43EB-B47D-C9CB42DB4C28}"/>
            </c:ext>
          </c:extLst>
        </c:ser>
        <c:dLbls>
          <c:showLegendKey val="0"/>
          <c:showVal val="0"/>
          <c:showCatName val="0"/>
          <c:showSerName val="0"/>
          <c:showPercent val="0"/>
          <c:showBubbleSize val="0"/>
        </c:dLbls>
        <c:marker val="1"/>
        <c:smooth val="0"/>
        <c:axId val="2130084992"/>
        <c:axId val="2130087712"/>
      </c:lineChart>
      <c:catAx>
        <c:axId val="2130686160"/>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130689136"/>
        <c:crosses val="autoZero"/>
        <c:auto val="1"/>
        <c:lblAlgn val="ctr"/>
        <c:lblOffset val="100"/>
        <c:noMultiLvlLbl val="0"/>
      </c:catAx>
      <c:valAx>
        <c:axId val="2130689136"/>
        <c:scaling>
          <c:orientation val="minMax"/>
        </c:scaling>
        <c:delete val="0"/>
        <c:axPos val="l"/>
        <c:numFmt formatCode="0" sourceLinked="1"/>
        <c:majorTickMark val="out"/>
        <c:minorTickMark val="none"/>
        <c:tickLblPos val="nextTo"/>
        <c:crossAx val="2130686160"/>
        <c:crosses val="autoZero"/>
        <c:crossBetween val="between"/>
      </c:valAx>
      <c:valAx>
        <c:axId val="2130087712"/>
        <c:scaling>
          <c:orientation val="minMax"/>
        </c:scaling>
        <c:delete val="0"/>
        <c:axPos val="r"/>
        <c:numFmt formatCode="0" sourceLinked="1"/>
        <c:majorTickMark val="out"/>
        <c:minorTickMark val="none"/>
        <c:tickLblPos val="nextTo"/>
        <c:crossAx val="2130084992"/>
        <c:crosses val="max"/>
        <c:crossBetween val="between"/>
      </c:valAx>
      <c:catAx>
        <c:axId val="2130084992"/>
        <c:scaling>
          <c:orientation val="minMax"/>
        </c:scaling>
        <c:delete val="1"/>
        <c:axPos val="b"/>
        <c:numFmt formatCode="General" sourceLinked="1"/>
        <c:majorTickMark val="out"/>
        <c:minorTickMark val="none"/>
        <c:tickLblPos val="nextTo"/>
        <c:crossAx val="2130087712"/>
        <c:crosses val="autoZero"/>
        <c:auto val="1"/>
        <c:lblAlgn val="ctr"/>
        <c:lblOffset val="100"/>
        <c:noMultiLvlLbl val="0"/>
      </c:catAx>
    </c:plotArea>
    <c:legend>
      <c:legendPos val="t"/>
      <c:overlay val="0"/>
    </c:legend>
    <c:plotVisOnly val="1"/>
    <c:dispBlanksAs val="gap"/>
    <c:showDLblsOverMax val="0"/>
  </c:chart>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303610039471502E-2"/>
          <c:y val="2.8226601386014301E-2"/>
          <c:w val="0.90996133984024796"/>
          <c:h val="0.87221393662235802"/>
        </c:manualLayout>
      </c:layout>
      <c:lineChart>
        <c:grouping val="standard"/>
        <c:varyColors val="0"/>
        <c:ser>
          <c:idx val="2"/>
          <c:order val="1"/>
          <c:tx>
            <c:strRef>
              <c:f>Commodities!$D$3</c:f>
              <c:strCache>
                <c:ptCount val="1"/>
                <c:pt idx="0">
                  <c:v>Algodón (Eje Derecho)</c:v>
                </c:pt>
              </c:strCache>
            </c:strRef>
          </c:tx>
          <c:marker>
            <c:symbol val="none"/>
          </c:marker>
          <c:cat>
            <c:numRef>
              <c:f>Commodities!$B$4:$B$33</c:f>
              <c:numCache>
                <c:formatCode>General</c:formatCode>
                <c:ptCount val="30"/>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numCache>
            </c:numRef>
          </c:cat>
          <c:val>
            <c:numRef>
              <c:f>Commodities!$D$4:$D$33</c:f>
              <c:numCache>
                <c:formatCode>0</c:formatCode>
                <c:ptCount val="30"/>
                <c:pt idx="0">
                  <c:v>642.95321833333321</c:v>
                </c:pt>
                <c:pt idx="1">
                  <c:v>627.24544333333336</c:v>
                </c:pt>
                <c:pt idx="2">
                  <c:v>644.71689833333335</c:v>
                </c:pt>
                <c:pt idx="3">
                  <c:v>650.26514166666664</c:v>
                </c:pt>
                <c:pt idx="4">
                  <c:v>635.71478166666657</c:v>
                </c:pt>
                <c:pt idx="5">
                  <c:v>622.54229666666652</c:v>
                </c:pt>
                <c:pt idx="6">
                  <c:v>676.51825333333329</c:v>
                </c:pt>
                <c:pt idx="7">
                  <c:v>678.02473000000009</c:v>
                </c:pt>
                <c:pt idx="8">
                  <c:v>613.48506499999996</c:v>
                </c:pt>
                <c:pt idx="9">
                  <c:v>637.75403666666671</c:v>
                </c:pt>
                <c:pt idx="10">
                  <c:v>746.99955856633335</c:v>
                </c:pt>
                <c:pt idx="11">
                  <c:v>799.39608441559994</c:v>
                </c:pt>
                <c:pt idx="12">
                  <c:v>1368.7765644718665</c:v>
                </c:pt>
                <c:pt idx="13">
                  <c:v>1435.8522011744169</c:v>
                </c:pt>
                <c:pt idx="14">
                  <c:v>1170.3421760784834</c:v>
                </c:pt>
                <c:pt idx="15">
                  <c:v>1702.8319745410165</c:v>
                </c:pt>
                <c:pt idx="16">
                  <c:v>1572.4469310795</c:v>
                </c:pt>
                <c:pt idx="17">
                  <c:v>1586.2074492636168</c:v>
                </c:pt>
                <c:pt idx="18">
                  <c:v>1700.6457239884001</c:v>
                </c:pt>
                <c:pt idx="19">
                  <c:v>2066.4660685573335</c:v>
                </c:pt>
                <c:pt idx="20">
                  <c:v>1849.6782573640003</c:v>
                </c:pt>
                <c:pt idx="21">
                  <c:v>1598.3512951</c:v>
                </c:pt>
                <c:pt idx="22">
                  <c:v>1853.8670400684002</c:v>
                </c:pt>
                <c:pt idx="23">
                  <c:v>1783.5395830840002</c:v>
                </c:pt>
                <c:pt idx="24">
                  <c:v>1320.568863124</c:v>
                </c:pt>
                <c:pt idx="25">
                  <c:v>1056.0141660040001</c:v>
                </c:pt>
                <c:pt idx="26">
                  <c:v>1649.057612048</c:v>
                </c:pt>
                <c:pt idx="27">
                  <c:v>1399.9352722600001</c:v>
                </c:pt>
                <c:pt idx="28">
                  <c:v>1673.3084592840003</c:v>
                </c:pt>
                <c:pt idx="29">
                  <c:v>1821.0181651759999</c:v>
                </c:pt>
              </c:numCache>
            </c:numRef>
          </c:val>
          <c:smooth val="0"/>
          <c:extLst>
            <c:ext xmlns:c16="http://schemas.microsoft.com/office/drawing/2014/chart" uri="{C3380CC4-5D6E-409C-BE32-E72D297353CC}">
              <c16:uniqueId val="{00000000-3166-4CC8-9D94-6B7A5FCFAE21}"/>
            </c:ext>
          </c:extLst>
        </c:ser>
        <c:ser>
          <c:idx val="5"/>
          <c:order val="2"/>
          <c:tx>
            <c:strRef>
              <c:f>Commodities!$G$3</c:f>
              <c:strCache>
                <c:ptCount val="1"/>
                <c:pt idx="0">
                  <c:v>Carne</c:v>
                </c:pt>
              </c:strCache>
            </c:strRef>
          </c:tx>
          <c:marker>
            <c:symbol val="none"/>
          </c:marker>
          <c:cat>
            <c:numRef>
              <c:f>Commodities!$B$4:$B$33</c:f>
              <c:numCache>
                <c:formatCode>General</c:formatCode>
                <c:ptCount val="30"/>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numCache>
            </c:numRef>
          </c:cat>
          <c:val>
            <c:numRef>
              <c:f>Commodities!$G$4:$G$33</c:f>
              <c:numCache>
                <c:formatCode>0</c:formatCode>
                <c:ptCount val="30"/>
                <c:pt idx="0">
                  <c:v>681.9632192426667</c:v>
                </c:pt>
                <c:pt idx="1">
                  <c:v>714.11396368433338</c:v>
                </c:pt>
                <c:pt idx="2">
                  <c:v>666.34714337100013</c:v>
                </c:pt>
                <c:pt idx="3">
                  <c:v>840.87975605433337</c:v>
                </c:pt>
                <c:pt idx="4">
                  <c:v>881.62852815240012</c:v>
                </c:pt>
                <c:pt idx="5">
                  <c:v>1022.3569295370668</c:v>
                </c:pt>
                <c:pt idx="6">
                  <c:v>1041.1145924370333</c:v>
                </c:pt>
                <c:pt idx="7">
                  <c:v>1085.0233234173666</c:v>
                </c:pt>
                <c:pt idx="8">
                  <c:v>1222.8673437292668</c:v>
                </c:pt>
                <c:pt idx="9">
                  <c:v>1304.2914005095333</c:v>
                </c:pt>
                <c:pt idx="10">
                  <c:v>1345.8485341821336</c:v>
                </c:pt>
                <c:pt idx="11">
                  <c:v>1480.2753896562333</c:v>
                </c:pt>
                <c:pt idx="12">
                  <c:v>2010.3584921564664</c:v>
                </c:pt>
                <c:pt idx="13">
                  <c:v>1582.2208073172667</c:v>
                </c:pt>
                <c:pt idx="14">
                  <c:v>1327.0908712821665</c:v>
                </c:pt>
                <c:pt idx="15">
                  <c:v>1581.0082649554665</c:v>
                </c:pt>
                <c:pt idx="16">
                  <c:v>1506.4736534127001</c:v>
                </c:pt>
                <c:pt idx="17">
                  <c:v>2138.2633394724003</c:v>
                </c:pt>
                <c:pt idx="18">
                  <c:v>2884.013635687334</c:v>
                </c:pt>
                <c:pt idx="19">
                  <c:v>2759.9668777044003</c:v>
                </c:pt>
                <c:pt idx="20">
                  <c:v>2833</c:v>
                </c:pt>
                <c:pt idx="21">
                  <c:v>2738.7</c:v>
                </c:pt>
                <c:pt idx="22">
                  <c:v>2796.39</c:v>
                </c:pt>
                <c:pt idx="23">
                  <c:v>2605.3000000000002</c:v>
                </c:pt>
                <c:pt idx="24">
                  <c:v>2467.85</c:v>
                </c:pt>
                <c:pt idx="25">
                  <c:v>2399.98</c:v>
                </c:pt>
                <c:pt idx="26">
                  <c:v>2733.3</c:v>
                </c:pt>
                <c:pt idx="27">
                  <c:v>2884.8</c:v>
                </c:pt>
                <c:pt idx="28">
                  <c:v>2942.7</c:v>
                </c:pt>
                <c:pt idx="29">
                  <c:v>2937.7</c:v>
                </c:pt>
              </c:numCache>
            </c:numRef>
          </c:val>
          <c:smooth val="0"/>
          <c:extLst>
            <c:ext xmlns:c16="http://schemas.microsoft.com/office/drawing/2014/chart" uri="{C3380CC4-5D6E-409C-BE32-E72D297353CC}">
              <c16:uniqueId val="{00000001-3166-4CC8-9D94-6B7A5FCFAE21}"/>
            </c:ext>
          </c:extLst>
        </c:ser>
        <c:dLbls>
          <c:showLegendKey val="0"/>
          <c:showVal val="0"/>
          <c:showCatName val="0"/>
          <c:showSerName val="0"/>
          <c:showPercent val="0"/>
          <c:showBubbleSize val="0"/>
        </c:dLbls>
        <c:marker val="1"/>
        <c:smooth val="0"/>
        <c:axId val="2130042752"/>
        <c:axId val="2130039568"/>
      </c:lineChart>
      <c:lineChart>
        <c:grouping val="standard"/>
        <c:varyColors val="0"/>
        <c:ser>
          <c:idx val="1"/>
          <c:order val="0"/>
          <c:tx>
            <c:strRef>
              <c:f>Commodities!$C$3</c:f>
              <c:strCache>
                <c:ptCount val="1"/>
                <c:pt idx="0">
                  <c:v>Soja</c:v>
                </c:pt>
              </c:strCache>
            </c:strRef>
          </c:tx>
          <c:marker>
            <c:symbol val="none"/>
          </c:marker>
          <c:cat>
            <c:numRef>
              <c:f>Commodities!$B$4:$B$33</c:f>
              <c:numCache>
                <c:formatCode>General</c:formatCode>
                <c:ptCount val="30"/>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numCache>
            </c:numRef>
          </c:cat>
          <c:val>
            <c:numRef>
              <c:f>Commodities!$C$4:$C$33</c:f>
              <c:numCache>
                <c:formatCode>0</c:formatCode>
                <c:ptCount val="30"/>
                <c:pt idx="0">
                  <c:v>102</c:v>
                </c:pt>
                <c:pt idx="1">
                  <c:v>92</c:v>
                </c:pt>
                <c:pt idx="2">
                  <c:v>101</c:v>
                </c:pt>
                <c:pt idx="3">
                  <c:v>101</c:v>
                </c:pt>
                <c:pt idx="4">
                  <c:v>107.33333333333333</c:v>
                </c:pt>
                <c:pt idx="5">
                  <c:v>115.91666666666667</c:v>
                </c:pt>
                <c:pt idx="6">
                  <c:v>103.25</c:v>
                </c:pt>
                <c:pt idx="7">
                  <c:v>97.166666666666671</c:v>
                </c:pt>
                <c:pt idx="8">
                  <c:v>94.416666666666671</c:v>
                </c:pt>
                <c:pt idx="9">
                  <c:v>107.33333333333333</c:v>
                </c:pt>
                <c:pt idx="10">
                  <c:v>115.41666666666667</c:v>
                </c:pt>
                <c:pt idx="11">
                  <c:v>128.66666666666666</c:v>
                </c:pt>
                <c:pt idx="12">
                  <c:v>266.5</c:v>
                </c:pt>
                <c:pt idx="13">
                  <c:v>254.16666666666666</c:v>
                </c:pt>
                <c:pt idx="14">
                  <c:v>201.08333333333334</c:v>
                </c:pt>
                <c:pt idx="15">
                  <c:v>216.5</c:v>
                </c:pt>
                <c:pt idx="16">
                  <c:v>261.16666666666669</c:v>
                </c:pt>
                <c:pt idx="17">
                  <c:v>242.58333333333334</c:v>
                </c:pt>
                <c:pt idx="18">
                  <c:v>264.33333333333331</c:v>
                </c:pt>
                <c:pt idx="19">
                  <c:v>265.33333333333331</c:v>
                </c:pt>
                <c:pt idx="20">
                  <c:v>261.3</c:v>
                </c:pt>
                <c:pt idx="21">
                  <c:v>221.2</c:v>
                </c:pt>
                <c:pt idx="22">
                  <c:v>259.5</c:v>
                </c:pt>
                <c:pt idx="23">
                  <c:v>257.5</c:v>
                </c:pt>
                <c:pt idx="24">
                  <c:v>203.2</c:v>
                </c:pt>
                <c:pt idx="25">
                  <c:v>188.9</c:v>
                </c:pt>
                <c:pt idx="26">
                  <c:v>195.6</c:v>
                </c:pt>
                <c:pt idx="27">
                  <c:v>279.67</c:v>
                </c:pt>
                <c:pt idx="28">
                  <c:v>247</c:v>
                </c:pt>
                <c:pt idx="29">
                  <c:v>219.1</c:v>
                </c:pt>
              </c:numCache>
            </c:numRef>
          </c:val>
          <c:smooth val="0"/>
          <c:extLst>
            <c:ext xmlns:c16="http://schemas.microsoft.com/office/drawing/2014/chart" uri="{C3380CC4-5D6E-409C-BE32-E72D297353CC}">
              <c16:uniqueId val="{00000002-3166-4CC8-9D94-6B7A5FCFAE21}"/>
            </c:ext>
          </c:extLst>
        </c:ser>
        <c:dLbls>
          <c:showLegendKey val="0"/>
          <c:showVal val="0"/>
          <c:showCatName val="0"/>
          <c:showSerName val="0"/>
          <c:showPercent val="0"/>
          <c:showBubbleSize val="0"/>
        </c:dLbls>
        <c:marker val="1"/>
        <c:smooth val="0"/>
        <c:axId val="2130034096"/>
        <c:axId val="2130036816"/>
      </c:lineChart>
      <c:catAx>
        <c:axId val="2130042752"/>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130039568"/>
        <c:crosses val="autoZero"/>
        <c:auto val="1"/>
        <c:lblAlgn val="ctr"/>
        <c:lblOffset val="100"/>
        <c:noMultiLvlLbl val="0"/>
      </c:catAx>
      <c:valAx>
        <c:axId val="2130039568"/>
        <c:scaling>
          <c:orientation val="minMax"/>
        </c:scaling>
        <c:delete val="0"/>
        <c:axPos val="l"/>
        <c:numFmt formatCode="0" sourceLinked="1"/>
        <c:majorTickMark val="out"/>
        <c:minorTickMark val="none"/>
        <c:tickLblPos val="nextTo"/>
        <c:crossAx val="2130042752"/>
        <c:crosses val="autoZero"/>
        <c:crossBetween val="between"/>
      </c:valAx>
      <c:valAx>
        <c:axId val="2130036816"/>
        <c:scaling>
          <c:orientation val="minMax"/>
        </c:scaling>
        <c:delete val="0"/>
        <c:axPos val="r"/>
        <c:numFmt formatCode="0" sourceLinked="1"/>
        <c:majorTickMark val="out"/>
        <c:minorTickMark val="none"/>
        <c:tickLblPos val="nextTo"/>
        <c:crossAx val="2130034096"/>
        <c:crosses val="max"/>
        <c:crossBetween val="between"/>
      </c:valAx>
      <c:catAx>
        <c:axId val="2130034096"/>
        <c:scaling>
          <c:orientation val="minMax"/>
        </c:scaling>
        <c:delete val="1"/>
        <c:axPos val="b"/>
        <c:numFmt formatCode="General" sourceLinked="1"/>
        <c:majorTickMark val="out"/>
        <c:minorTickMark val="none"/>
        <c:tickLblPos val="nextTo"/>
        <c:crossAx val="2130036816"/>
        <c:crosses val="autoZero"/>
        <c:auto val="1"/>
        <c:lblAlgn val="ctr"/>
        <c:lblOffset val="100"/>
        <c:noMultiLvlLbl val="0"/>
      </c:catAx>
    </c:plotArea>
    <c:legend>
      <c:legendPos val="t"/>
      <c:overlay val="0"/>
    </c:legend>
    <c:plotVisOnly val="1"/>
    <c:dispBlanksAs val="gap"/>
    <c:showDLblsOverMax val="0"/>
  </c:chart>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9.0613517060367396E-2"/>
          <c:y val="4.2025736366287501E-2"/>
          <c:w val="0.87883092738407698"/>
          <c:h val="0.81134292500628402"/>
        </c:manualLayout>
      </c:layout>
      <c:lineChart>
        <c:grouping val="standard"/>
        <c:varyColors val="0"/>
        <c:ser>
          <c:idx val="0"/>
          <c:order val="0"/>
          <c:tx>
            <c:strRef>
              <c:f>Commodities!$L$3</c:f>
              <c:strCache>
                <c:ptCount val="1"/>
                <c:pt idx="0">
                  <c:v>Índice DXY</c:v>
                </c:pt>
              </c:strCache>
            </c:strRef>
          </c:tx>
          <c:spPr>
            <a:ln>
              <a:solidFill>
                <a:srgbClr val="0070C0"/>
              </a:solidFill>
            </a:ln>
          </c:spPr>
          <c:marker>
            <c:symbol val="none"/>
          </c:marker>
          <c:cat>
            <c:numRef>
              <c:f>Commodities!$B$11:$B$33</c:f>
              <c:numCache>
                <c:formatCode>General</c:formatCode>
                <c:ptCount val="23"/>
                <c:pt idx="0">
                  <c:v>1968</c:v>
                </c:pt>
                <c:pt idx="1">
                  <c:v>1969</c:v>
                </c:pt>
                <c:pt idx="2">
                  <c:v>1970</c:v>
                </c:pt>
                <c:pt idx="3">
                  <c:v>1971</c:v>
                </c:pt>
                <c:pt idx="4">
                  <c:v>1972</c:v>
                </c:pt>
                <c:pt idx="5">
                  <c:v>1973</c:v>
                </c:pt>
                <c:pt idx="6">
                  <c:v>1974</c:v>
                </c:pt>
                <c:pt idx="7">
                  <c:v>1975</c:v>
                </c:pt>
                <c:pt idx="8">
                  <c:v>1976</c:v>
                </c:pt>
                <c:pt idx="9">
                  <c:v>1977</c:v>
                </c:pt>
                <c:pt idx="10">
                  <c:v>1978</c:v>
                </c:pt>
                <c:pt idx="11">
                  <c:v>1979</c:v>
                </c:pt>
                <c:pt idx="12">
                  <c:v>1980</c:v>
                </c:pt>
                <c:pt idx="13">
                  <c:v>1981</c:v>
                </c:pt>
                <c:pt idx="14">
                  <c:v>1982</c:v>
                </c:pt>
                <c:pt idx="15">
                  <c:v>1983</c:v>
                </c:pt>
                <c:pt idx="16">
                  <c:v>1984</c:v>
                </c:pt>
                <c:pt idx="17">
                  <c:v>1985</c:v>
                </c:pt>
                <c:pt idx="18">
                  <c:v>1986</c:v>
                </c:pt>
                <c:pt idx="19">
                  <c:v>1987</c:v>
                </c:pt>
                <c:pt idx="20">
                  <c:v>1988</c:v>
                </c:pt>
                <c:pt idx="21">
                  <c:v>1989</c:v>
                </c:pt>
                <c:pt idx="22">
                  <c:v>1990</c:v>
                </c:pt>
              </c:numCache>
            </c:numRef>
          </c:cat>
          <c:val>
            <c:numRef>
              <c:f>Commodities!$L$11:$L$33</c:f>
              <c:numCache>
                <c:formatCode>#,##0</c:formatCode>
                <c:ptCount val="23"/>
                <c:pt idx="0">
                  <c:v>119.9545</c:v>
                </c:pt>
                <c:pt idx="1">
                  <c:v>122.05833333333335</c:v>
                </c:pt>
                <c:pt idx="2">
                  <c:v>122.39516666666668</c:v>
                </c:pt>
                <c:pt idx="3">
                  <c:v>121.06583333333333</c:v>
                </c:pt>
                <c:pt idx="4">
                  <c:v>117.82875000000001</c:v>
                </c:pt>
                <c:pt idx="5">
                  <c:v>109.06741666666666</c:v>
                </c:pt>
                <c:pt idx="6">
                  <c:v>99.160000000000011</c:v>
                </c:pt>
                <c:pt idx="7">
                  <c:v>101.42950000000002</c:v>
                </c:pt>
                <c:pt idx="8">
                  <c:v>98.506333333333316</c:v>
                </c:pt>
                <c:pt idx="9">
                  <c:v>105.63375000000001</c:v>
                </c:pt>
                <c:pt idx="10">
                  <c:v>103.35300000000001</c:v>
                </c:pt>
                <c:pt idx="11">
                  <c:v>92.402749999999983</c:v>
                </c:pt>
                <c:pt idx="12">
                  <c:v>88.072083333333339</c:v>
                </c:pt>
                <c:pt idx="13">
                  <c:v>87.397916666666674</c:v>
                </c:pt>
                <c:pt idx="14">
                  <c:v>103.27616666666667</c:v>
                </c:pt>
                <c:pt idx="15">
                  <c:v>116.51591666666668</c:v>
                </c:pt>
                <c:pt idx="16">
                  <c:v>125.33275000000002</c:v>
                </c:pt>
                <c:pt idx="17">
                  <c:v>138.35599999999999</c:v>
                </c:pt>
                <c:pt idx="18">
                  <c:v>143.25225000000003</c:v>
                </c:pt>
                <c:pt idx="19">
                  <c:v>112.13633333333333</c:v>
                </c:pt>
                <c:pt idx="20">
                  <c:v>96.833666666666673</c:v>
                </c:pt>
                <c:pt idx="21">
                  <c:v>92.682083333333352</c:v>
                </c:pt>
                <c:pt idx="22">
                  <c:v>98.428333333333342</c:v>
                </c:pt>
              </c:numCache>
            </c:numRef>
          </c:val>
          <c:smooth val="0"/>
          <c:extLst>
            <c:ext xmlns:c16="http://schemas.microsoft.com/office/drawing/2014/chart" uri="{C3380CC4-5D6E-409C-BE32-E72D297353CC}">
              <c16:uniqueId val="{00000000-3014-433E-A2B5-C24EB92DD720}"/>
            </c:ext>
          </c:extLst>
        </c:ser>
        <c:dLbls>
          <c:showLegendKey val="0"/>
          <c:showVal val="0"/>
          <c:showCatName val="0"/>
          <c:showSerName val="0"/>
          <c:showPercent val="0"/>
          <c:showBubbleSize val="0"/>
        </c:dLbls>
        <c:smooth val="0"/>
        <c:axId val="2130010464"/>
        <c:axId val="2130007472"/>
      </c:lineChart>
      <c:catAx>
        <c:axId val="2130010464"/>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130007472"/>
        <c:crosses val="autoZero"/>
        <c:auto val="1"/>
        <c:lblAlgn val="ctr"/>
        <c:lblOffset val="100"/>
        <c:noMultiLvlLbl val="0"/>
      </c:catAx>
      <c:valAx>
        <c:axId val="2130007472"/>
        <c:scaling>
          <c:orientation val="minMax"/>
          <c:min val="80"/>
        </c:scaling>
        <c:delete val="0"/>
        <c:axPos val="l"/>
        <c:numFmt formatCode="#,##0" sourceLinked="1"/>
        <c:majorTickMark val="out"/>
        <c:minorTickMark val="none"/>
        <c:tickLblPos val="nextTo"/>
        <c:crossAx val="2130010464"/>
        <c:crosses val="autoZero"/>
        <c:crossBetween val="between"/>
      </c:valAx>
    </c:plotArea>
    <c:plotVisOnly val="1"/>
    <c:dispBlanksAs val="gap"/>
    <c:showDLblsOverMax val="0"/>
  </c:chart>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3"/>
          <c:order val="1"/>
          <c:tx>
            <c:strRef>
              <c:f>Commodities!$E$3</c:f>
              <c:strCache>
                <c:ptCount val="1"/>
                <c:pt idx="0">
                  <c:v>Maíz</c:v>
                </c:pt>
              </c:strCache>
            </c:strRef>
          </c:tx>
          <c:marker>
            <c:symbol val="none"/>
          </c:marker>
          <c:cat>
            <c:numRef>
              <c:f>Commodities!$B$18:$B$33</c:f>
              <c:numCache>
                <c:formatCode>General</c:formatCode>
                <c:ptCount val="1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numCache>
            </c:numRef>
          </c:cat>
          <c:val>
            <c:numRef>
              <c:f>Commodities!$E$18:$E$33</c:f>
              <c:numCache>
                <c:formatCode>0</c:formatCode>
                <c:ptCount val="16"/>
                <c:pt idx="0">
                  <c:v>119.55</c:v>
                </c:pt>
                <c:pt idx="1">
                  <c:v>112.26</c:v>
                </c:pt>
                <c:pt idx="2">
                  <c:v>95.37</c:v>
                </c:pt>
                <c:pt idx="3">
                  <c:v>100.75</c:v>
                </c:pt>
                <c:pt idx="4">
                  <c:v>115.58</c:v>
                </c:pt>
                <c:pt idx="5">
                  <c:v>125.72</c:v>
                </c:pt>
                <c:pt idx="6">
                  <c:v>130.6</c:v>
                </c:pt>
                <c:pt idx="7">
                  <c:v>108.1</c:v>
                </c:pt>
                <c:pt idx="8">
                  <c:v>136</c:v>
                </c:pt>
                <c:pt idx="9">
                  <c:v>135.80000000000001</c:v>
                </c:pt>
                <c:pt idx="10">
                  <c:v>112.3</c:v>
                </c:pt>
                <c:pt idx="11">
                  <c:v>87.8</c:v>
                </c:pt>
                <c:pt idx="12">
                  <c:v>75.5</c:v>
                </c:pt>
                <c:pt idx="13">
                  <c:v>107</c:v>
                </c:pt>
                <c:pt idx="14">
                  <c:v>111.4</c:v>
                </c:pt>
                <c:pt idx="15">
                  <c:v>109.3</c:v>
                </c:pt>
              </c:numCache>
            </c:numRef>
          </c:val>
          <c:smooth val="0"/>
          <c:extLst>
            <c:ext xmlns:c16="http://schemas.microsoft.com/office/drawing/2014/chart" uri="{C3380CC4-5D6E-409C-BE32-E72D297353CC}">
              <c16:uniqueId val="{00000000-1498-4ACC-A2E0-CFCEA113CF51}"/>
            </c:ext>
          </c:extLst>
        </c:ser>
        <c:ser>
          <c:idx val="4"/>
          <c:order val="2"/>
          <c:tx>
            <c:strRef>
              <c:f>Commodities!$F$3</c:f>
              <c:strCache>
                <c:ptCount val="1"/>
                <c:pt idx="0">
                  <c:v>Trigo</c:v>
                </c:pt>
              </c:strCache>
            </c:strRef>
          </c:tx>
          <c:spPr>
            <a:ln>
              <a:solidFill>
                <a:srgbClr val="00B050"/>
              </a:solidFill>
            </a:ln>
          </c:spPr>
          <c:marker>
            <c:symbol val="none"/>
          </c:marker>
          <c:cat>
            <c:numRef>
              <c:f>Commodities!$B$18:$B$33</c:f>
              <c:numCache>
                <c:formatCode>General</c:formatCode>
                <c:ptCount val="1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numCache>
            </c:numRef>
          </c:cat>
          <c:val>
            <c:numRef>
              <c:f>Commodities!$F$18:$F$33</c:f>
              <c:numCache>
                <c:formatCode>0</c:formatCode>
                <c:ptCount val="16"/>
                <c:pt idx="0">
                  <c:v>149.1</c:v>
                </c:pt>
                <c:pt idx="1">
                  <c:v>132.9</c:v>
                </c:pt>
                <c:pt idx="2">
                  <c:v>103.2</c:v>
                </c:pt>
                <c:pt idx="3">
                  <c:v>127.7</c:v>
                </c:pt>
                <c:pt idx="4">
                  <c:v>160.30000000000001</c:v>
                </c:pt>
                <c:pt idx="5">
                  <c:v>172.7</c:v>
                </c:pt>
                <c:pt idx="6">
                  <c:v>184</c:v>
                </c:pt>
                <c:pt idx="7">
                  <c:v>162.1</c:v>
                </c:pt>
                <c:pt idx="8">
                  <c:v>177.8</c:v>
                </c:pt>
                <c:pt idx="9">
                  <c:v>144.1</c:v>
                </c:pt>
                <c:pt idx="10">
                  <c:v>130.19999999999999</c:v>
                </c:pt>
                <c:pt idx="11">
                  <c:v>115.28</c:v>
                </c:pt>
                <c:pt idx="12">
                  <c:v>90.8</c:v>
                </c:pt>
                <c:pt idx="13">
                  <c:v>140.69</c:v>
                </c:pt>
                <c:pt idx="14">
                  <c:v>167.19</c:v>
                </c:pt>
                <c:pt idx="15">
                  <c:v>134.1</c:v>
                </c:pt>
              </c:numCache>
            </c:numRef>
          </c:val>
          <c:smooth val="0"/>
          <c:extLst>
            <c:ext xmlns:c16="http://schemas.microsoft.com/office/drawing/2014/chart" uri="{C3380CC4-5D6E-409C-BE32-E72D297353CC}">
              <c16:uniqueId val="{00000001-1498-4ACC-A2E0-CFCEA113CF51}"/>
            </c:ext>
          </c:extLst>
        </c:ser>
        <c:ser>
          <c:idx val="7"/>
          <c:order val="3"/>
          <c:tx>
            <c:strRef>
              <c:f>Commodities!$I$3</c:f>
              <c:strCache>
                <c:ptCount val="1"/>
                <c:pt idx="0">
                  <c:v>Arroz (Eje derecho)</c:v>
                </c:pt>
              </c:strCache>
            </c:strRef>
          </c:tx>
          <c:spPr>
            <a:ln>
              <a:solidFill>
                <a:srgbClr val="FF0000"/>
              </a:solidFill>
            </a:ln>
          </c:spPr>
          <c:marker>
            <c:symbol val="none"/>
          </c:marker>
          <c:cat>
            <c:numRef>
              <c:f>Commodities!$B$18:$B$33</c:f>
              <c:numCache>
                <c:formatCode>General</c:formatCode>
                <c:ptCount val="1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numCache>
            </c:numRef>
          </c:cat>
          <c:val>
            <c:numRef>
              <c:f>Commodities!$I$18:$I$33</c:f>
              <c:numCache>
                <c:formatCode>0</c:formatCode>
                <c:ptCount val="16"/>
                <c:pt idx="0">
                  <c:v>363.16</c:v>
                </c:pt>
                <c:pt idx="1">
                  <c:v>254.08</c:v>
                </c:pt>
                <c:pt idx="2">
                  <c:v>272.41000000000003</c:v>
                </c:pt>
                <c:pt idx="3">
                  <c:v>368.5</c:v>
                </c:pt>
                <c:pt idx="4">
                  <c:v>334.33</c:v>
                </c:pt>
                <c:pt idx="5">
                  <c:v>433.67</c:v>
                </c:pt>
                <c:pt idx="6">
                  <c:v>482.83</c:v>
                </c:pt>
                <c:pt idx="7">
                  <c:v>293.37</c:v>
                </c:pt>
                <c:pt idx="8">
                  <c:v>276.83</c:v>
                </c:pt>
                <c:pt idx="9">
                  <c:v>252.25</c:v>
                </c:pt>
                <c:pt idx="10">
                  <c:v>217.41</c:v>
                </c:pt>
                <c:pt idx="11">
                  <c:v>195.67</c:v>
                </c:pt>
                <c:pt idx="12">
                  <c:v>214.41</c:v>
                </c:pt>
                <c:pt idx="13">
                  <c:v>277.25</c:v>
                </c:pt>
                <c:pt idx="14">
                  <c:v>299.75</c:v>
                </c:pt>
                <c:pt idx="15">
                  <c:v>270.66000000000003</c:v>
                </c:pt>
              </c:numCache>
            </c:numRef>
          </c:val>
          <c:smooth val="0"/>
          <c:extLst>
            <c:ext xmlns:c16="http://schemas.microsoft.com/office/drawing/2014/chart" uri="{C3380CC4-5D6E-409C-BE32-E72D297353CC}">
              <c16:uniqueId val="{00000002-1498-4ACC-A2E0-CFCEA113CF51}"/>
            </c:ext>
          </c:extLst>
        </c:ser>
        <c:dLbls>
          <c:showLegendKey val="0"/>
          <c:showVal val="0"/>
          <c:showCatName val="0"/>
          <c:showSerName val="0"/>
          <c:showPercent val="0"/>
          <c:showBubbleSize val="0"/>
        </c:dLbls>
        <c:marker val="1"/>
        <c:smooth val="0"/>
        <c:axId val="2130068576"/>
        <c:axId val="2130020224"/>
      </c:lineChart>
      <c:lineChart>
        <c:grouping val="standard"/>
        <c:varyColors val="0"/>
        <c:ser>
          <c:idx val="2"/>
          <c:order val="0"/>
          <c:tx>
            <c:strRef>
              <c:f>Commodities!$D$3</c:f>
              <c:strCache>
                <c:ptCount val="1"/>
                <c:pt idx="0">
                  <c:v>Algodón (Eje Derecho)</c:v>
                </c:pt>
              </c:strCache>
            </c:strRef>
          </c:tx>
          <c:spPr>
            <a:ln>
              <a:solidFill>
                <a:srgbClr val="FFC000"/>
              </a:solidFill>
            </a:ln>
          </c:spPr>
          <c:marker>
            <c:symbol val="none"/>
          </c:marker>
          <c:cat>
            <c:numRef>
              <c:f>Commodities!$B$18:$B$33</c:f>
              <c:numCache>
                <c:formatCode>General</c:formatCode>
                <c:ptCount val="1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numCache>
            </c:numRef>
          </c:cat>
          <c:val>
            <c:numRef>
              <c:f>Commodities!$D$18:$D$33</c:f>
              <c:numCache>
                <c:formatCode>0</c:formatCode>
                <c:ptCount val="16"/>
                <c:pt idx="0">
                  <c:v>1170.3421760784834</c:v>
                </c:pt>
                <c:pt idx="1">
                  <c:v>1702.8319745410165</c:v>
                </c:pt>
                <c:pt idx="2">
                  <c:v>1572.4469310795</c:v>
                </c:pt>
                <c:pt idx="3">
                  <c:v>1586.2074492636168</c:v>
                </c:pt>
                <c:pt idx="4">
                  <c:v>1700.6457239884001</c:v>
                </c:pt>
                <c:pt idx="5">
                  <c:v>2066.4660685573335</c:v>
                </c:pt>
                <c:pt idx="6">
                  <c:v>1849.6782573640003</c:v>
                </c:pt>
                <c:pt idx="7">
                  <c:v>1598.3512951</c:v>
                </c:pt>
                <c:pt idx="8">
                  <c:v>1853.8670400684002</c:v>
                </c:pt>
                <c:pt idx="9">
                  <c:v>1783.5395830840002</c:v>
                </c:pt>
                <c:pt idx="10">
                  <c:v>1320.568863124</c:v>
                </c:pt>
                <c:pt idx="11">
                  <c:v>1056.0141660040001</c:v>
                </c:pt>
                <c:pt idx="12">
                  <c:v>1649.057612048</c:v>
                </c:pt>
                <c:pt idx="13">
                  <c:v>1399.9352722600001</c:v>
                </c:pt>
                <c:pt idx="14">
                  <c:v>1673.3084592840003</c:v>
                </c:pt>
                <c:pt idx="15">
                  <c:v>1821.0181651759999</c:v>
                </c:pt>
              </c:numCache>
            </c:numRef>
          </c:val>
          <c:smooth val="0"/>
          <c:extLst>
            <c:ext xmlns:c16="http://schemas.microsoft.com/office/drawing/2014/chart" uri="{C3380CC4-5D6E-409C-BE32-E72D297353CC}">
              <c16:uniqueId val="{00000003-1498-4ACC-A2E0-CFCEA113CF51}"/>
            </c:ext>
          </c:extLst>
        </c:ser>
        <c:ser>
          <c:idx val="8"/>
          <c:order val="4"/>
          <c:tx>
            <c:strRef>
              <c:f>Commodities!$J$3</c:f>
              <c:strCache>
                <c:ptCount val="1"/>
                <c:pt idx="0">
                  <c:v>Azúcar (Eje Derecho)</c:v>
                </c:pt>
              </c:strCache>
            </c:strRef>
          </c:tx>
          <c:spPr>
            <a:ln>
              <a:solidFill>
                <a:srgbClr val="00B0F0"/>
              </a:solidFill>
            </a:ln>
          </c:spPr>
          <c:marker>
            <c:symbol val="none"/>
          </c:marker>
          <c:cat>
            <c:numRef>
              <c:f>Commodities!$B$18:$B$33</c:f>
              <c:numCache>
                <c:formatCode>General</c:formatCode>
                <c:ptCount val="1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numCache>
            </c:numRef>
          </c:cat>
          <c:val>
            <c:numRef>
              <c:f>Commodities!$J$18:$J$33</c:f>
              <c:numCache>
                <c:formatCode>0</c:formatCode>
                <c:ptCount val="16"/>
                <c:pt idx="0">
                  <c:v>294.75802504119997</c:v>
                </c:pt>
                <c:pt idx="1">
                  <c:v>177.03118482279999</c:v>
                </c:pt>
                <c:pt idx="2">
                  <c:v>207.23451274400003</c:v>
                </c:pt>
                <c:pt idx="3">
                  <c:v>185.8496747268</c:v>
                </c:pt>
                <c:pt idx="4">
                  <c:v>359.57392583559999</c:v>
                </c:pt>
                <c:pt idx="5">
                  <c:v>674.1735531608</c:v>
                </c:pt>
                <c:pt idx="6">
                  <c:v>290.56924233680002</c:v>
                </c:pt>
                <c:pt idx="7">
                  <c:v>151.01663960600001</c:v>
                </c:pt>
                <c:pt idx="8">
                  <c:v>180.33811853680001</c:v>
                </c:pt>
                <c:pt idx="9">
                  <c:v>91.712295001600012</c:v>
                </c:pt>
                <c:pt idx="10">
                  <c:v>123.89978315120001</c:v>
                </c:pt>
                <c:pt idx="11">
                  <c:v>135.80474452160001</c:v>
                </c:pt>
                <c:pt idx="12">
                  <c:v>209.21867297240001</c:v>
                </c:pt>
                <c:pt idx="13">
                  <c:v>245.81540607400001</c:v>
                </c:pt>
                <c:pt idx="14">
                  <c:v>290.12831784159999</c:v>
                </c:pt>
                <c:pt idx="15">
                  <c:v>320.99303250560001</c:v>
                </c:pt>
              </c:numCache>
            </c:numRef>
          </c:val>
          <c:smooth val="0"/>
          <c:extLst>
            <c:ext xmlns:c16="http://schemas.microsoft.com/office/drawing/2014/chart" uri="{C3380CC4-5D6E-409C-BE32-E72D297353CC}">
              <c16:uniqueId val="{00000004-1498-4ACC-A2E0-CFCEA113CF51}"/>
            </c:ext>
          </c:extLst>
        </c:ser>
        <c:dLbls>
          <c:showLegendKey val="0"/>
          <c:showVal val="0"/>
          <c:showCatName val="0"/>
          <c:showSerName val="0"/>
          <c:showPercent val="0"/>
          <c:showBubbleSize val="0"/>
        </c:dLbls>
        <c:marker val="1"/>
        <c:smooth val="0"/>
        <c:axId val="2130000208"/>
        <c:axId val="2130018656"/>
      </c:lineChart>
      <c:catAx>
        <c:axId val="2130068576"/>
        <c:scaling>
          <c:orientation val="minMax"/>
        </c:scaling>
        <c:delete val="0"/>
        <c:axPos val="b"/>
        <c:numFmt formatCode="General" sourceLinked="1"/>
        <c:majorTickMark val="out"/>
        <c:minorTickMark val="none"/>
        <c:tickLblPos val="nextTo"/>
        <c:crossAx val="2130020224"/>
        <c:crosses val="autoZero"/>
        <c:auto val="1"/>
        <c:lblAlgn val="ctr"/>
        <c:lblOffset val="100"/>
        <c:noMultiLvlLbl val="0"/>
      </c:catAx>
      <c:valAx>
        <c:axId val="2130020224"/>
        <c:scaling>
          <c:orientation val="minMax"/>
        </c:scaling>
        <c:delete val="0"/>
        <c:axPos val="l"/>
        <c:numFmt formatCode="0" sourceLinked="1"/>
        <c:majorTickMark val="out"/>
        <c:minorTickMark val="none"/>
        <c:tickLblPos val="nextTo"/>
        <c:crossAx val="2130068576"/>
        <c:crosses val="autoZero"/>
        <c:crossBetween val="between"/>
      </c:valAx>
      <c:valAx>
        <c:axId val="2130018656"/>
        <c:scaling>
          <c:orientation val="minMax"/>
        </c:scaling>
        <c:delete val="0"/>
        <c:axPos val="r"/>
        <c:numFmt formatCode="0" sourceLinked="1"/>
        <c:majorTickMark val="out"/>
        <c:minorTickMark val="none"/>
        <c:tickLblPos val="nextTo"/>
        <c:crossAx val="2130000208"/>
        <c:crosses val="max"/>
        <c:crossBetween val="between"/>
      </c:valAx>
      <c:catAx>
        <c:axId val="2130000208"/>
        <c:scaling>
          <c:orientation val="minMax"/>
        </c:scaling>
        <c:delete val="1"/>
        <c:axPos val="b"/>
        <c:numFmt formatCode="General" sourceLinked="1"/>
        <c:majorTickMark val="out"/>
        <c:minorTickMark val="none"/>
        <c:tickLblPos val="nextTo"/>
        <c:crossAx val="2130018656"/>
        <c:crosses val="autoZero"/>
        <c:auto val="1"/>
        <c:lblAlgn val="ctr"/>
        <c:lblOffset val="100"/>
        <c:noMultiLvlLbl val="0"/>
      </c:catAx>
    </c:plotArea>
    <c:legend>
      <c:legendPos val="t"/>
      <c:overlay val="0"/>
    </c:legend>
    <c:plotVisOnly val="1"/>
    <c:dispBlanksAs val="gap"/>
    <c:showDLblsOverMax val="0"/>
  </c:chart>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lineChart>
        <c:grouping val="standard"/>
        <c:varyColors val="0"/>
        <c:ser>
          <c:idx val="9"/>
          <c:order val="0"/>
          <c:tx>
            <c:strRef>
              <c:f>Commodities!$K$3</c:f>
              <c:strCache>
                <c:ptCount val="1"/>
                <c:pt idx="0">
                  <c:v>Petróleo brent </c:v>
                </c:pt>
              </c:strCache>
            </c:strRef>
          </c:tx>
          <c:marker>
            <c:symbol val="none"/>
          </c:marker>
          <c:cat>
            <c:numRef>
              <c:f>Commodities!$B$18:$B$33</c:f>
              <c:numCache>
                <c:formatCode>General</c:formatCode>
                <c:ptCount val="1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numCache>
            </c:numRef>
          </c:cat>
          <c:val>
            <c:numRef>
              <c:f>Commodities!$K$18:$K$33</c:f>
              <c:numCache>
                <c:formatCode>0</c:formatCode>
                <c:ptCount val="16"/>
                <c:pt idx="0">
                  <c:v>11.5</c:v>
                </c:pt>
                <c:pt idx="1">
                  <c:v>13.140000000000002</c:v>
                </c:pt>
                <c:pt idx="2">
                  <c:v>14.307500000000003</c:v>
                </c:pt>
                <c:pt idx="3">
                  <c:v>14.26</c:v>
                </c:pt>
                <c:pt idx="4">
                  <c:v>32.112500000000004</c:v>
                </c:pt>
                <c:pt idx="5">
                  <c:v>37.891666666666666</c:v>
                </c:pt>
                <c:pt idx="6">
                  <c:v>36.700000000000003</c:v>
                </c:pt>
                <c:pt idx="7">
                  <c:v>33.4</c:v>
                </c:pt>
                <c:pt idx="8">
                  <c:v>29.8</c:v>
                </c:pt>
                <c:pt idx="9">
                  <c:v>28.7</c:v>
                </c:pt>
                <c:pt idx="10">
                  <c:v>27.6</c:v>
                </c:pt>
                <c:pt idx="11">
                  <c:v>14.4</c:v>
                </c:pt>
                <c:pt idx="12">
                  <c:v>18.399999999999999</c:v>
                </c:pt>
                <c:pt idx="13">
                  <c:v>14.97</c:v>
                </c:pt>
                <c:pt idx="14">
                  <c:v>18.2</c:v>
                </c:pt>
                <c:pt idx="15">
                  <c:v>23.7</c:v>
                </c:pt>
              </c:numCache>
            </c:numRef>
          </c:val>
          <c:smooth val="0"/>
          <c:extLst>
            <c:ext xmlns:c16="http://schemas.microsoft.com/office/drawing/2014/chart" uri="{C3380CC4-5D6E-409C-BE32-E72D297353CC}">
              <c16:uniqueId val="{00000000-F5AD-4423-94F5-B60BDEC0F30D}"/>
            </c:ext>
          </c:extLst>
        </c:ser>
        <c:dLbls>
          <c:showLegendKey val="0"/>
          <c:showVal val="0"/>
          <c:showCatName val="0"/>
          <c:showSerName val="0"/>
          <c:showPercent val="0"/>
          <c:showBubbleSize val="0"/>
        </c:dLbls>
        <c:smooth val="0"/>
        <c:axId val="2129958864"/>
        <c:axId val="2129955936"/>
      </c:lineChart>
      <c:catAx>
        <c:axId val="2129958864"/>
        <c:scaling>
          <c:orientation val="minMax"/>
        </c:scaling>
        <c:delete val="0"/>
        <c:axPos val="b"/>
        <c:numFmt formatCode="General" sourceLinked="1"/>
        <c:majorTickMark val="out"/>
        <c:minorTickMark val="none"/>
        <c:tickLblPos val="nextTo"/>
        <c:crossAx val="2129955936"/>
        <c:crosses val="autoZero"/>
        <c:auto val="1"/>
        <c:lblAlgn val="ctr"/>
        <c:lblOffset val="100"/>
        <c:noMultiLvlLbl val="0"/>
      </c:catAx>
      <c:valAx>
        <c:axId val="2129955936"/>
        <c:scaling>
          <c:orientation val="minMax"/>
        </c:scaling>
        <c:delete val="0"/>
        <c:axPos val="l"/>
        <c:numFmt formatCode="0" sourceLinked="1"/>
        <c:majorTickMark val="out"/>
        <c:minorTickMark val="none"/>
        <c:tickLblPos val="nextTo"/>
        <c:crossAx val="2129958864"/>
        <c:crosses val="autoZero"/>
        <c:crossBetween val="between"/>
      </c:valAx>
    </c:plotArea>
    <c:plotVisOnly val="1"/>
    <c:dispBlanksAs val="gap"/>
    <c:showDLblsOverMax val="0"/>
  </c:chart>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lineChart>
        <c:grouping val="standard"/>
        <c:varyColors val="0"/>
        <c:ser>
          <c:idx val="8"/>
          <c:order val="0"/>
          <c:tx>
            <c:strRef>
              <c:f>Commodities!$J$3</c:f>
              <c:strCache>
                <c:ptCount val="1"/>
                <c:pt idx="0">
                  <c:v>Azúcar (Eje Derecho)</c:v>
                </c:pt>
              </c:strCache>
            </c:strRef>
          </c:tx>
          <c:spPr>
            <a:ln>
              <a:solidFill>
                <a:schemeClr val="accent6">
                  <a:lumMod val="75000"/>
                </a:schemeClr>
              </a:solidFill>
            </a:ln>
          </c:spPr>
          <c:marker>
            <c:symbol val="none"/>
          </c:marker>
          <c:cat>
            <c:numRef>
              <c:f>Commodities!$B$18:$B$33</c:f>
              <c:numCache>
                <c:formatCode>General</c:formatCode>
                <c:ptCount val="1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numCache>
            </c:numRef>
          </c:cat>
          <c:val>
            <c:numRef>
              <c:f>Commodities!$J$18:$J$33</c:f>
              <c:numCache>
                <c:formatCode>0</c:formatCode>
                <c:ptCount val="16"/>
                <c:pt idx="0">
                  <c:v>294.75802504119997</c:v>
                </c:pt>
                <c:pt idx="1">
                  <c:v>177.03118482279999</c:v>
                </c:pt>
                <c:pt idx="2">
                  <c:v>207.23451274400003</c:v>
                </c:pt>
                <c:pt idx="3">
                  <c:v>185.8496747268</c:v>
                </c:pt>
                <c:pt idx="4">
                  <c:v>359.57392583559999</c:v>
                </c:pt>
                <c:pt idx="5">
                  <c:v>674.1735531608</c:v>
                </c:pt>
                <c:pt idx="6">
                  <c:v>290.56924233680002</c:v>
                </c:pt>
                <c:pt idx="7">
                  <c:v>151.01663960600001</c:v>
                </c:pt>
                <c:pt idx="8">
                  <c:v>180.33811853680001</c:v>
                </c:pt>
                <c:pt idx="9">
                  <c:v>91.712295001600012</c:v>
                </c:pt>
                <c:pt idx="10">
                  <c:v>123.89978315120001</c:v>
                </c:pt>
                <c:pt idx="11">
                  <c:v>135.80474452160001</c:v>
                </c:pt>
                <c:pt idx="12">
                  <c:v>209.21867297240001</c:v>
                </c:pt>
                <c:pt idx="13">
                  <c:v>245.81540607400001</c:v>
                </c:pt>
                <c:pt idx="14">
                  <c:v>290.12831784159999</c:v>
                </c:pt>
                <c:pt idx="15">
                  <c:v>320.99303250560001</c:v>
                </c:pt>
              </c:numCache>
            </c:numRef>
          </c:val>
          <c:smooth val="0"/>
          <c:extLst>
            <c:ext xmlns:c16="http://schemas.microsoft.com/office/drawing/2014/chart" uri="{C3380CC4-5D6E-409C-BE32-E72D297353CC}">
              <c16:uniqueId val="{00000000-4A20-46D0-8F4A-C2C798FB55D1}"/>
            </c:ext>
          </c:extLst>
        </c:ser>
        <c:dLbls>
          <c:showLegendKey val="0"/>
          <c:showVal val="0"/>
          <c:showCatName val="0"/>
          <c:showSerName val="0"/>
          <c:showPercent val="0"/>
          <c:showBubbleSize val="0"/>
        </c:dLbls>
        <c:smooth val="0"/>
        <c:axId val="2129927312"/>
        <c:axId val="2129924384"/>
      </c:lineChart>
      <c:catAx>
        <c:axId val="2129927312"/>
        <c:scaling>
          <c:orientation val="minMax"/>
        </c:scaling>
        <c:delete val="0"/>
        <c:axPos val="b"/>
        <c:numFmt formatCode="General" sourceLinked="1"/>
        <c:majorTickMark val="out"/>
        <c:minorTickMark val="none"/>
        <c:tickLblPos val="nextTo"/>
        <c:crossAx val="2129924384"/>
        <c:crosses val="autoZero"/>
        <c:auto val="1"/>
        <c:lblAlgn val="ctr"/>
        <c:lblOffset val="100"/>
        <c:noMultiLvlLbl val="0"/>
      </c:catAx>
      <c:valAx>
        <c:axId val="2129924384"/>
        <c:scaling>
          <c:orientation val="minMax"/>
        </c:scaling>
        <c:delete val="0"/>
        <c:axPos val="l"/>
        <c:numFmt formatCode="0" sourceLinked="1"/>
        <c:majorTickMark val="out"/>
        <c:minorTickMark val="none"/>
        <c:tickLblPos val="nextTo"/>
        <c:crossAx val="2129927312"/>
        <c:crosses val="autoZero"/>
        <c:crossBetween val="between"/>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'Figure 7'!$B$3</c:f>
              <c:strCache>
                <c:ptCount val="1"/>
                <c:pt idx="0">
                  <c:v>inflation</c:v>
                </c:pt>
              </c:strCache>
            </c:strRef>
          </c:tx>
          <c:spPr>
            <a:ln w="28575" cap="rnd">
              <a:solidFill>
                <a:schemeClr val="accent1"/>
              </a:solidFill>
              <a:round/>
            </a:ln>
            <a:effectLst/>
          </c:spPr>
          <c:marker>
            <c:symbol val="none"/>
          </c:marker>
          <c:cat>
            <c:strRef>
              <c:f>'Figure 7'!$A$4:$A$58</c:f>
              <c:strCache>
                <c:ptCount val="55"/>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strCache>
            </c:strRef>
          </c:cat>
          <c:val>
            <c:numRef>
              <c:f>'Figure 7'!$B$4:$B$58</c:f>
              <c:numCache>
                <c:formatCode>0.00</c:formatCode>
                <c:ptCount val="55"/>
                <c:pt idx="0">
                  <c:v>2.0000000000000684</c:v>
                </c:pt>
                <c:pt idx="1">
                  <c:v>1.568627450980431</c:v>
                </c:pt>
                <c:pt idx="2">
                  <c:v>5.0442227727720779</c:v>
                </c:pt>
                <c:pt idx="3">
                  <c:v>3.9215686274509665</c:v>
                </c:pt>
                <c:pt idx="4">
                  <c:v>1.3207547169811651</c:v>
                </c:pt>
                <c:pt idx="5">
                  <c:v>0.55865921787707773</c:v>
                </c:pt>
                <c:pt idx="6">
                  <c:v>2.6851851851852127</c:v>
                </c:pt>
                <c:pt idx="7">
                  <c:v>-0.27051397655546428</c:v>
                </c:pt>
                <c:pt idx="8">
                  <c:v>2.2603978300180794</c:v>
                </c:pt>
                <c:pt idx="9">
                  <c:v>6.2776304155614637</c:v>
                </c:pt>
                <c:pt idx="10">
                  <c:v>9.4841930116472248</c:v>
                </c:pt>
                <c:pt idx="11">
                  <c:v>14.133738601823698</c:v>
                </c:pt>
                <c:pt idx="12">
                  <c:v>21.97070572569908</c:v>
                </c:pt>
                <c:pt idx="13">
                  <c:v>8.6790393013100431</c:v>
                </c:pt>
                <c:pt idx="14">
                  <c:v>3.3651431441486634</c:v>
                </c:pt>
                <c:pt idx="15">
                  <c:v>9.3780369290573198</c:v>
                </c:pt>
                <c:pt idx="16">
                  <c:v>16.836961350510869</c:v>
                </c:pt>
                <c:pt idx="17">
                  <c:v>35.70342205323194</c:v>
                </c:pt>
                <c:pt idx="18">
                  <c:v>15.017255226305103</c:v>
                </c:pt>
                <c:pt idx="19">
                  <c:v>8.1180811808118101</c:v>
                </c:pt>
                <c:pt idx="20">
                  <c:v>8.8737201365187701</c:v>
                </c:pt>
                <c:pt idx="21">
                  <c:v>14.10658307210031</c:v>
                </c:pt>
                <c:pt idx="22">
                  <c:v>29.807692307692314</c:v>
                </c:pt>
                <c:pt idx="23">
                  <c:v>23.068783068783105</c:v>
                </c:pt>
                <c:pt idx="24">
                  <c:v>24.118658641444533</c:v>
                </c:pt>
                <c:pt idx="25">
                  <c:v>32.040180117769324</c:v>
                </c:pt>
                <c:pt idx="26">
                  <c:v>16.946484784889826</c:v>
                </c:pt>
                <c:pt idx="27">
                  <c:v>28.532974427994628</c:v>
                </c:pt>
                <c:pt idx="28">
                  <c:v>44.066317626527038</c:v>
                </c:pt>
                <c:pt idx="29">
                  <c:v>11.811023622047244</c:v>
                </c:pt>
                <c:pt idx="30">
                  <c:v>17.811484290357548</c:v>
                </c:pt>
                <c:pt idx="31">
                  <c:v>20.406474158543286</c:v>
                </c:pt>
                <c:pt idx="32">
                  <c:v>18.276941877339038</c:v>
                </c:pt>
                <c:pt idx="33">
                  <c:v>10.533159947984405</c:v>
                </c:pt>
                <c:pt idx="34">
                  <c:v>8.176470588235297</c:v>
                </c:pt>
                <c:pt idx="35">
                  <c:v>6.1990212071778128</c:v>
                </c:pt>
                <c:pt idx="36">
                  <c:v>14.644137224782373</c:v>
                </c:pt>
                <c:pt idx="37">
                  <c:v>5.4041983028137563</c:v>
                </c:pt>
                <c:pt idx="38">
                  <c:v>8.6440677966101553</c:v>
                </c:pt>
                <c:pt idx="39">
                  <c:v>8.3853354134165272</c:v>
                </c:pt>
                <c:pt idx="40">
                  <c:v>14.645555955379663</c:v>
                </c:pt>
                <c:pt idx="41">
                  <c:v>9.322033898305083</c:v>
                </c:pt>
                <c:pt idx="42">
                  <c:v>2.8136663795578443</c:v>
                </c:pt>
                <c:pt idx="43">
                  <c:v>9.8575816810946737</c:v>
                </c:pt>
                <c:pt idx="44">
                  <c:v>12.480935434672102</c:v>
                </c:pt>
                <c:pt idx="45">
                  <c:v>5.966101694915249</c:v>
                </c:pt>
                <c:pt idx="46">
                  <c:v>7.4999999999999956</c:v>
                </c:pt>
                <c:pt idx="47">
                  <c:v>1.8604651162790642</c:v>
                </c:pt>
                <c:pt idx="48">
                  <c:v>7.214611872146115</c:v>
                </c:pt>
                <c:pt idx="49">
                  <c:v>4.9403747870528036</c:v>
                </c:pt>
                <c:pt idx="50">
                  <c:v>3.9772727272727293</c:v>
                </c:pt>
                <c:pt idx="51">
                  <c:v>3.7470725995316201</c:v>
                </c:pt>
                <c:pt idx="52">
                  <c:v>4.2136945071482357</c:v>
                </c:pt>
                <c:pt idx="53">
                  <c:v>3.1046931407942235</c:v>
                </c:pt>
                <c:pt idx="54">
                  <c:v>3.9215686274508776</c:v>
                </c:pt>
              </c:numCache>
            </c:numRef>
          </c:val>
          <c:smooth val="0"/>
          <c:extLst>
            <c:ext xmlns:c16="http://schemas.microsoft.com/office/drawing/2014/chart" uri="{C3380CC4-5D6E-409C-BE32-E72D297353CC}">
              <c16:uniqueId val="{00000000-A663-4633-A3B4-B3F0024290D7}"/>
            </c:ext>
          </c:extLst>
        </c:ser>
        <c:ser>
          <c:idx val="1"/>
          <c:order val="1"/>
          <c:tx>
            <c:strRef>
              <c:f>'Figure 7'!$C$3</c:f>
              <c:strCache>
                <c:ptCount val="1"/>
                <c:pt idx="0">
                  <c:v>seigniorage (right axis)</c:v>
                </c:pt>
              </c:strCache>
            </c:strRef>
          </c:tx>
          <c:spPr>
            <a:ln w="28575" cap="rnd">
              <a:solidFill>
                <a:schemeClr val="accent2"/>
              </a:solidFill>
              <a:round/>
            </a:ln>
            <a:effectLst/>
          </c:spPr>
          <c:marker>
            <c:symbol val="none"/>
          </c:marker>
          <c:cat>
            <c:strRef>
              <c:f>'Figure 7'!$A$4:$A$58</c:f>
              <c:strCache>
                <c:ptCount val="55"/>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strCache>
            </c:strRef>
          </c:cat>
          <c:val>
            <c:numRef>
              <c:f>'Figure 7'!$C$4:$C$58</c:f>
              <c:numCache>
                <c:formatCode>0.00</c:formatCode>
                <c:ptCount val="55"/>
                <c:pt idx="0">
                  <c:v>0.38705963150109834</c:v>
                </c:pt>
                <c:pt idx="1">
                  <c:v>0.42910526026393275</c:v>
                </c:pt>
                <c:pt idx="2">
                  <c:v>0.71143177875161034</c:v>
                </c:pt>
                <c:pt idx="3">
                  <c:v>0.88493676752784944</c:v>
                </c:pt>
                <c:pt idx="4">
                  <c:v>0.32351657460736977</c:v>
                </c:pt>
                <c:pt idx="5">
                  <c:v>0.87670254488262711</c:v>
                </c:pt>
                <c:pt idx="6">
                  <c:v>0.69501727944649749</c:v>
                </c:pt>
                <c:pt idx="7">
                  <c:v>0.4558787494388738</c:v>
                </c:pt>
                <c:pt idx="8">
                  <c:v>0.76404901472605047</c:v>
                </c:pt>
                <c:pt idx="9">
                  <c:v>1.2871769898893997</c:v>
                </c:pt>
                <c:pt idx="10">
                  <c:v>1.7080909762012466</c:v>
                </c:pt>
                <c:pt idx="11">
                  <c:v>2.4089246542964111</c:v>
                </c:pt>
                <c:pt idx="12">
                  <c:v>3.1694959776108567</c:v>
                </c:pt>
                <c:pt idx="13">
                  <c:v>1.5874746496011924</c:v>
                </c:pt>
                <c:pt idx="14">
                  <c:v>1.2388097985459452</c:v>
                </c:pt>
                <c:pt idx="15">
                  <c:v>2.3361293333512765</c:v>
                </c:pt>
                <c:pt idx="16">
                  <c:v>3.2556980949628236</c:v>
                </c:pt>
                <c:pt idx="17">
                  <c:v>5.1088066754650105</c:v>
                </c:pt>
                <c:pt idx="18">
                  <c:v>2.8428666278593129</c:v>
                </c:pt>
                <c:pt idx="19">
                  <c:v>1.9694011254774515</c:v>
                </c:pt>
                <c:pt idx="20">
                  <c:v>0.82048398921169308</c:v>
                </c:pt>
                <c:pt idx="21">
                  <c:v>1.07503125681504</c:v>
                </c:pt>
                <c:pt idx="22">
                  <c:v>3.1923658099887695</c:v>
                </c:pt>
                <c:pt idx="23">
                  <c:v>2.6978993631846988</c:v>
                </c:pt>
                <c:pt idx="24">
                  <c:v>2.5514610097380492</c:v>
                </c:pt>
                <c:pt idx="25">
                  <c:v>3.3452563935403106</c:v>
                </c:pt>
                <c:pt idx="26">
                  <c:v>2.1899574206814481</c:v>
                </c:pt>
                <c:pt idx="27">
                  <c:v>2.8147997829765683</c:v>
                </c:pt>
                <c:pt idx="28">
                  <c:v>3.0927005116881534</c:v>
                </c:pt>
                <c:pt idx="29">
                  <c:v>1.0610143675904993</c:v>
                </c:pt>
                <c:pt idx="30">
                  <c:v>1.2283083990338857</c:v>
                </c:pt>
                <c:pt idx="31">
                  <c:v>1.7517419487520041</c:v>
                </c:pt>
                <c:pt idx="32">
                  <c:v>1.6427513273769594</c:v>
                </c:pt>
                <c:pt idx="33">
                  <c:v>1.3704966510492729</c:v>
                </c:pt>
                <c:pt idx="34">
                  <c:v>0.83437977899833682</c:v>
                </c:pt>
                <c:pt idx="35">
                  <c:v>0.81815786758147024</c:v>
                </c:pt>
                <c:pt idx="36">
                  <c:v>1.0831382987852511</c:v>
                </c:pt>
                <c:pt idx="37">
                  <c:v>0.3079795520925635</c:v>
                </c:pt>
                <c:pt idx="38">
                  <c:v>0.47186133785126499</c:v>
                </c:pt>
                <c:pt idx="39">
                  <c:v>0.51324737481574811</c:v>
                </c:pt>
                <c:pt idx="40">
                  <c:v>0.90314349557395879</c:v>
                </c:pt>
                <c:pt idx="41">
                  <c:v>0.7470526046707775</c:v>
                </c:pt>
                <c:pt idx="42">
                  <c:v>0.53402784072797738</c:v>
                </c:pt>
                <c:pt idx="43">
                  <c:v>0.91990920346340255</c:v>
                </c:pt>
                <c:pt idx="44">
                  <c:v>1.1923975386202137</c:v>
                </c:pt>
                <c:pt idx="45">
                  <c:v>0.8369113545084067</c:v>
                </c:pt>
                <c:pt idx="46">
                  <c:v>1.1696573622548305</c:v>
                </c:pt>
                <c:pt idx="47">
                  <c:v>-0.21015875015778082</c:v>
                </c:pt>
                <c:pt idx="48">
                  <c:v>2.2508710371731149</c:v>
                </c:pt>
                <c:pt idx="49">
                  <c:v>0.93863116533591273</c:v>
                </c:pt>
                <c:pt idx="50">
                  <c:v>0.28870534066370074</c:v>
                </c:pt>
                <c:pt idx="51">
                  <c:v>1.9327228175991831</c:v>
                </c:pt>
                <c:pt idx="52">
                  <c:v>0.88043534085367559</c:v>
                </c:pt>
                <c:pt idx="53">
                  <c:v>0.61425577258547115</c:v>
                </c:pt>
                <c:pt idx="54">
                  <c:v>0.79174119832916101</c:v>
                </c:pt>
              </c:numCache>
            </c:numRef>
          </c:val>
          <c:smooth val="0"/>
          <c:extLst>
            <c:ext xmlns:c16="http://schemas.microsoft.com/office/drawing/2014/chart" uri="{C3380CC4-5D6E-409C-BE32-E72D297353CC}">
              <c16:uniqueId val="{00000001-A663-4633-A3B4-B3F0024290D7}"/>
            </c:ext>
          </c:extLst>
        </c:ser>
        <c:dLbls>
          <c:showLegendKey val="0"/>
          <c:showVal val="0"/>
          <c:showCatName val="0"/>
          <c:showSerName val="0"/>
          <c:showPercent val="0"/>
          <c:showBubbleSize val="0"/>
        </c:dLbls>
        <c:smooth val="0"/>
        <c:axId val="403182888"/>
        <c:axId val="403183216"/>
      </c:lineChart>
      <c:catAx>
        <c:axId val="403182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3183216"/>
        <c:crosses val="autoZero"/>
        <c:auto val="1"/>
        <c:lblAlgn val="ctr"/>
        <c:lblOffset val="100"/>
        <c:noMultiLvlLbl val="0"/>
      </c:catAx>
      <c:valAx>
        <c:axId val="4031832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3182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lineChart>
        <c:grouping val="standard"/>
        <c:varyColors val="0"/>
        <c:ser>
          <c:idx val="3"/>
          <c:order val="0"/>
          <c:tx>
            <c:strRef>
              <c:f>Commodities!$E$3</c:f>
              <c:strCache>
                <c:ptCount val="1"/>
                <c:pt idx="0">
                  <c:v>Maíz</c:v>
                </c:pt>
              </c:strCache>
            </c:strRef>
          </c:tx>
          <c:spPr>
            <a:ln>
              <a:solidFill>
                <a:schemeClr val="accent3">
                  <a:lumMod val="75000"/>
                </a:schemeClr>
              </a:solidFill>
            </a:ln>
          </c:spPr>
          <c:marker>
            <c:symbol val="none"/>
          </c:marker>
          <c:cat>
            <c:numRef>
              <c:f>Commodities!$B$18:$B$33</c:f>
              <c:numCache>
                <c:formatCode>General</c:formatCode>
                <c:ptCount val="1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numCache>
            </c:numRef>
          </c:cat>
          <c:val>
            <c:numRef>
              <c:f>Commodities!$E$18:$E$33</c:f>
              <c:numCache>
                <c:formatCode>0</c:formatCode>
                <c:ptCount val="16"/>
                <c:pt idx="0">
                  <c:v>119.55</c:v>
                </c:pt>
                <c:pt idx="1">
                  <c:v>112.26</c:v>
                </c:pt>
                <c:pt idx="2">
                  <c:v>95.37</c:v>
                </c:pt>
                <c:pt idx="3">
                  <c:v>100.75</c:v>
                </c:pt>
                <c:pt idx="4">
                  <c:v>115.58</c:v>
                </c:pt>
                <c:pt idx="5">
                  <c:v>125.72</c:v>
                </c:pt>
                <c:pt idx="6">
                  <c:v>130.6</c:v>
                </c:pt>
                <c:pt idx="7">
                  <c:v>108.1</c:v>
                </c:pt>
                <c:pt idx="8">
                  <c:v>136</c:v>
                </c:pt>
                <c:pt idx="9">
                  <c:v>135.80000000000001</c:v>
                </c:pt>
                <c:pt idx="10">
                  <c:v>112.3</c:v>
                </c:pt>
                <c:pt idx="11">
                  <c:v>87.8</c:v>
                </c:pt>
                <c:pt idx="12">
                  <c:v>75.5</c:v>
                </c:pt>
                <c:pt idx="13">
                  <c:v>107</c:v>
                </c:pt>
                <c:pt idx="14">
                  <c:v>111.4</c:v>
                </c:pt>
                <c:pt idx="15">
                  <c:v>109.3</c:v>
                </c:pt>
              </c:numCache>
            </c:numRef>
          </c:val>
          <c:smooth val="0"/>
          <c:extLst>
            <c:ext xmlns:c16="http://schemas.microsoft.com/office/drawing/2014/chart" uri="{C3380CC4-5D6E-409C-BE32-E72D297353CC}">
              <c16:uniqueId val="{00000000-CA63-448E-B9B0-8F467ED5BA01}"/>
            </c:ext>
          </c:extLst>
        </c:ser>
        <c:dLbls>
          <c:showLegendKey val="0"/>
          <c:showVal val="0"/>
          <c:showCatName val="0"/>
          <c:showSerName val="0"/>
          <c:showPercent val="0"/>
          <c:showBubbleSize val="0"/>
        </c:dLbls>
        <c:smooth val="0"/>
        <c:axId val="2129896400"/>
        <c:axId val="2129893472"/>
      </c:lineChart>
      <c:catAx>
        <c:axId val="2129896400"/>
        <c:scaling>
          <c:orientation val="minMax"/>
        </c:scaling>
        <c:delete val="0"/>
        <c:axPos val="b"/>
        <c:numFmt formatCode="General" sourceLinked="1"/>
        <c:majorTickMark val="out"/>
        <c:minorTickMark val="none"/>
        <c:tickLblPos val="nextTo"/>
        <c:crossAx val="2129893472"/>
        <c:crosses val="autoZero"/>
        <c:auto val="1"/>
        <c:lblAlgn val="ctr"/>
        <c:lblOffset val="100"/>
        <c:noMultiLvlLbl val="0"/>
      </c:catAx>
      <c:valAx>
        <c:axId val="2129893472"/>
        <c:scaling>
          <c:orientation val="minMax"/>
        </c:scaling>
        <c:delete val="0"/>
        <c:axPos val="l"/>
        <c:numFmt formatCode="0" sourceLinked="1"/>
        <c:majorTickMark val="out"/>
        <c:minorTickMark val="none"/>
        <c:tickLblPos val="nextTo"/>
        <c:crossAx val="2129896400"/>
        <c:crosses val="autoZero"/>
        <c:crossBetween val="between"/>
      </c:valAx>
    </c:plotArea>
    <c:plotVisOnly val="1"/>
    <c:dispBlanksAs val="gap"/>
    <c:showDLblsOverMax val="0"/>
  </c:chart>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lineChart>
        <c:grouping val="standard"/>
        <c:varyColors val="0"/>
        <c:ser>
          <c:idx val="4"/>
          <c:order val="0"/>
          <c:tx>
            <c:strRef>
              <c:f>Commodities!$F$3</c:f>
              <c:strCache>
                <c:ptCount val="1"/>
                <c:pt idx="0">
                  <c:v>Trigo</c:v>
                </c:pt>
              </c:strCache>
            </c:strRef>
          </c:tx>
          <c:spPr>
            <a:ln>
              <a:solidFill>
                <a:schemeClr val="tx2">
                  <a:lumMod val="60000"/>
                  <a:lumOff val="40000"/>
                </a:schemeClr>
              </a:solidFill>
            </a:ln>
          </c:spPr>
          <c:marker>
            <c:symbol val="none"/>
          </c:marker>
          <c:cat>
            <c:numRef>
              <c:f>Commodities!$B$18:$B$33</c:f>
              <c:numCache>
                <c:formatCode>General</c:formatCode>
                <c:ptCount val="1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numCache>
            </c:numRef>
          </c:cat>
          <c:val>
            <c:numRef>
              <c:f>Commodities!$F$18:$F$33</c:f>
              <c:numCache>
                <c:formatCode>0</c:formatCode>
                <c:ptCount val="16"/>
                <c:pt idx="0">
                  <c:v>149.1</c:v>
                </c:pt>
                <c:pt idx="1">
                  <c:v>132.9</c:v>
                </c:pt>
                <c:pt idx="2">
                  <c:v>103.2</c:v>
                </c:pt>
                <c:pt idx="3">
                  <c:v>127.7</c:v>
                </c:pt>
                <c:pt idx="4">
                  <c:v>160.30000000000001</c:v>
                </c:pt>
                <c:pt idx="5">
                  <c:v>172.7</c:v>
                </c:pt>
                <c:pt idx="6">
                  <c:v>184</c:v>
                </c:pt>
                <c:pt idx="7">
                  <c:v>162.1</c:v>
                </c:pt>
                <c:pt idx="8">
                  <c:v>177.8</c:v>
                </c:pt>
                <c:pt idx="9">
                  <c:v>144.1</c:v>
                </c:pt>
                <c:pt idx="10">
                  <c:v>130.19999999999999</c:v>
                </c:pt>
                <c:pt idx="11">
                  <c:v>115.28</c:v>
                </c:pt>
                <c:pt idx="12">
                  <c:v>90.8</c:v>
                </c:pt>
                <c:pt idx="13">
                  <c:v>140.69</c:v>
                </c:pt>
                <c:pt idx="14">
                  <c:v>167.19</c:v>
                </c:pt>
                <c:pt idx="15">
                  <c:v>134.1</c:v>
                </c:pt>
              </c:numCache>
            </c:numRef>
          </c:val>
          <c:smooth val="0"/>
          <c:extLst>
            <c:ext xmlns:c16="http://schemas.microsoft.com/office/drawing/2014/chart" uri="{C3380CC4-5D6E-409C-BE32-E72D297353CC}">
              <c16:uniqueId val="{00000000-D24C-446E-B54B-88A34CBE8580}"/>
            </c:ext>
          </c:extLst>
        </c:ser>
        <c:dLbls>
          <c:showLegendKey val="0"/>
          <c:showVal val="0"/>
          <c:showCatName val="0"/>
          <c:showSerName val="0"/>
          <c:showPercent val="0"/>
          <c:showBubbleSize val="0"/>
        </c:dLbls>
        <c:smooth val="0"/>
        <c:axId val="2127616240"/>
        <c:axId val="2127613312"/>
      </c:lineChart>
      <c:catAx>
        <c:axId val="2127616240"/>
        <c:scaling>
          <c:orientation val="minMax"/>
        </c:scaling>
        <c:delete val="0"/>
        <c:axPos val="b"/>
        <c:numFmt formatCode="General" sourceLinked="1"/>
        <c:majorTickMark val="out"/>
        <c:minorTickMark val="none"/>
        <c:tickLblPos val="nextTo"/>
        <c:crossAx val="2127613312"/>
        <c:crosses val="autoZero"/>
        <c:auto val="1"/>
        <c:lblAlgn val="ctr"/>
        <c:lblOffset val="100"/>
        <c:noMultiLvlLbl val="0"/>
      </c:catAx>
      <c:valAx>
        <c:axId val="2127613312"/>
        <c:scaling>
          <c:orientation val="minMax"/>
        </c:scaling>
        <c:delete val="0"/>
        <c:axPos val="l"/>
        <c:numFmt formatCode="0" sourceLinked="1"/>
        <c:majorTickMark val="out"/>
        <c:minorTickMark val="none"/>
        <c:tickLblPos val="nextTo"/>
        <c:crossAx val="2127616240"/>
        <c:crosses val="autoZero"/>
        <c:crossBetween val="between"/>
      </c:valAx>
    </c:plotArea>
    <c:plotVisOnly val="1"/>
    <c:dispBlanksAs val="gap"/>
    <c:showDLblsOverMax val="0"/>
  </c:chart>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lineChart>
        <c:grouping val="standard"/>
        <c:varyColors val="0"/>
        <c:ser>
          <c:idx val="7"/>
          <c:order val="0"/>
          <c:tx>
            <c:strRef>
              <c:f>Commodities!$I$3</c:f>
              <c:strCache>
                <c:ptCount val="1"/>
                <c:pt idx="0">
                  <c:v>Arroz (Eje derecho)</c:v>
                </c:pt>
              </c:strCache>
            </c:strRef>
          </c:tx>
          <c:spPr>
            <a:ln>
              <a:solidFill>
                <a:srgbClr val="FF0000"/>
              </a:solidFill>
            </a:ln>
          </c:spPr>
          <c:marker>
            <c:symbol val="none"/>
          </c:marker>
          <c:cat>
            <c:numRef>
              <c:f>Commodities!$B$18:$B$33</c:f>
              <c:numCache>
                <c:formatCode>General</c:formatCode>
                <c:ptCount val="16"/>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numCache>
            </c:numRef>
          </c:cat>
          <c:val>
            <c:numRef>
              <c:f>Commodities!$I$18:$I$33</c:f>
              <c:numCache>
                <c:formatCode>0</c:formatCode>
                <c:ptCount val="16"/>
                <c:pt idx="0">
                  <c:v>363.16</c:v>
                </c:pt>
                <c:pt idx="1">
                  <c:v>254.08</c:v>
                </c:pt>
                <c:pt idx="2">
                  <c:v>272.41000000000003</c:v>
                </c:pt>
                <c:pt idx="3">
                  <c:v>368.5</c:v>
                </c:pt>
                <c:pt idx="4">
                  <c:v>334.33</c:v>
                </c:pt>
                <c:pt idx="5">
                  <c:v>433.67</c:v>
                </c:pt>
                <c:pt idx="6">
                  <c:v>482.83</c:v>
                </c:pt>
                <c:pt idx="7">
                  <c:v>293.37</c:v>
                </c:pt>
                <c:pt idx="8">
                  <c:v>276.83</c:v>
                </c:pt>
                <c:pt idx="9">
                  <c:v>252.25</c:v>
                </c:pt>
                <c:pt idx="10">
                  <c:v>217.41</c:v>
                </c:pt>
                <c:pt idx="11">
                  <c:v>195.67</c:v>
                </c:pt>
                <c:pt idx="12">
                  <c:v>214.41</c:v>
                </c:pt>
                <c:pt idx="13">
                  <c:v>277.25</c:v>
                </c:pt>
                <c:pt idx="14">
                  <c:v>299.75</c:v>
                </c:pt>
                <c:pt idx="15">
                  <c:v>270.66000000000003</c:v>
                </c:pt>
              </c:numCache>
            </c:numRef>
          </c:val>
          <c:smooth val="0"/>
          <c:extLst>
            <c:ext xmlns:c16="http://schemas.microsoft.com/office/drawing/2014/chart" uri="{C3380CC4-5D6E-409C-BE32-E72D297353CC}">
              <c16:uniqueId val="{00000000-8476-4BDD-ACDD-5375920DDF52}"/>
            </c:ext>
          </c:extLst>
        </c:ser>
        <c:dLbls>
          <c:showLegendKey val="0"/>
          <c:showVal val="0"/>
          <c:showCatName val="0"/>
          <c:showSerName val="0"/>
          <c:showPercent val="0"/>
          <c:showBubbleSize val="0"/>
        </c:dLbls>
        <c:smooth val="0"/>
        <c:axId val="2127584416"/>
        <c:axId val="2127581488"/>
      </c:lineChart>
      <c:catAx>
        <c:axId val="2127584416"/>
        <c:scaling>
          <c:orientation val="minMax"/>
        </c:scaling>
        <c:delete val="0"/>
        <c:axPos val="b"/>
        <c:numFmt formatCode="General" sourceLinked="1"/>
        <c:majorTickMark val="out"/>
        <c:minorTickMark val="none"/>
        <c:tickLblPos val="nextTo"/>
        <c:crossAx val="2127581488"/>
        <c:crosses val="autoZero"/>
        <c:auto val="1"/>
        <c:lblAlgn val="ctr"/>
        <c:lblOffset val="100"/>
        <c:noMultiLvlLbl val="0"/>
      </c:catAx>
      <c:valAx>
        <c:axId val="2127581488"/>
        <c:scaling>
          <c:orientation val="minMax"/>
        </c:scaling>
        <c:delete val="0"/>
        <c:axPos val="l"/>
        <c:numFmt formatCode="0" sourceLinked="1"/>
        <c:majorTickMark val="out"/>
        <c:minorTickMark val="none"/>
        <c:tickLblPos val="nextTo"/>
        <c:crossAx val="2127584416"/>
        <c:crosses val="autoZero"/>
        <c:crossBetween val="between"/>
      </c:valAx>
    </c:plotArea>
    <c:plotVisOnly val="1"/>
    <c:dispBlanksAs val="gap"/>
    <c:showDLblsOverMax val="0"/>
  </c:chart>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PIB per cápita sin tendencia</a:t>
            </a:r>
            <a:endParaRPr lang="en-US" baseline="0"/>
          </a:p>
        </c:rich>
      </c:tx>
      <c:overlay val="0"/>
    </c:title>
    <c:autoTitleDeleted val="0"/>
    <c:plotArea>
      <c:layout>
        <c:manualLayout>
          <c:layoutTarget val="inner"/>
          <c:xMode val="edge"/>
          <c:yMode val="edge"/>
          <c:x val="0.122198058576011"/>
          <c:y val="0.212695545621639"/>
          <c:w val="0.84959150939465899"/>
          <c:h val="0.64056396408662097"/>
        </c:manualLayout>
      </c:layout>
      <c:lineChart>
        <c:grouping val="standard"/>
        <c:varyColors val="0"/>
        <c:ser>
          <c:idx val="0"/>
          <c:order val="0"/>
          <c:tx>
            <c:strRef>
              <c:f>'Real GDP pc'!$C$3:$C$3</c:f>
              <c:strCache>
                <c:ptCount val="1"/>
                <c:pt idx="0">
                  <c:v>USD (1994)</c:v>
                </c:pt>
              </c:strCache>
            </c:strRef>
          </c:tx>
          <c:marker>
            <c:symbol val="none"/>
          </c:marker>
          <c:cat>
            <c:numRef>
              <c:f>'Real GDP pc'!$B$4:$B$59</c:f>
              <c:numCache>
                <c:formatCode>General</c:formatCode>
                <c:ptCount val="56"/>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numCache>
            </c:numRef>
          </c:cat>
          <c:val>
            <c:numRef>
              <c:f>'Real GDP pc'!#REF!</c:f>
              <c:numCache>
                <c:formatCode>General</c:formatCode>
                <c:ptCount val="1"/>
                <c:pt idx="0">
                  <c:v>1</c:v>
                </c:pt>
              </c:numCache>
            </c:numRef>
          </c:val>
          <c:smooth val="0"/>
          <c:extLst>
            <c:ext xmlns:c16="http://schemas.microsoft.com/office/drawing/2014/chart" uri="{C3380CC4-5D6E-409C-BE32-E72D297353CC}">
              <c16:uniqueId val="{00000000-75DF-4BD1-9102-6F2728DFE848}"/>
            </c:ext>
          </c:extLst>
        </c:ser>
        <c:dLbls>
          <c:showLegendKey val="0"/>
          <c:showVal val="0"/>
          <c:showCatName val="0"/>
          <c:showSerName val="0"/>
          <c:showPercent val="0"/>
          <c:showBubbleSize val="0"/>
        </c:dLbls>
        <c:smooth val="0"/>
        <c:axId val="2131185664"/>
        <c:axId val="2131188576"/>
      </c:lineChart>
      <c:catAx>
        <c:axId val="2131185664"/>
        <c:scaling>
          <c:orientation val="minMax"/>
        </c:scaling>
        <c:delete val="0"/>
        <c:axPos val="b"/>
        <c:numFmt formatCode="General" sourceLinked="0"/>
        <c:majorTickMark val="none"/>
        <c:minorTickMark val="none"/>
        <c:tickLblPos val="nextTo"/>
        <c:txPr>
          <a:bodyPr rot="-5400000" vert="horz"/>
          <a:lstStyle/>
          <a:p>
            <a:pPr>
              <a:defRPr/>
            </a:pPr>
            <a:endParaRPr lang="en-US"/>
          </a:p>
        </c:txPr>
        <c:crossAx val="2131188576"/>
        <c:crosses val="autoZero"/>
        <c:auto val="1"/>
        <c:lblAlgn val="ctr"/>
        <c:lblOffset val="100"/>
        <c:noMultiLvlLbl val="0"/>
      </c:catAx>
      <c:valAx>
        <c:axId val="2131188576"/>
        <c:scaling>
          <c:orientation val="minMax"/>
          <c:min val="90"/>
        </c:scaling>
        <c:delete val="0"/>
        <c:axPos val="l"/>
        <c:title>
          <c:tx>
            <c:rich>
              <a:bodyPr/>
              <a:lstStyle/>
              <a:p>
                <a:pPr>
                  <a:defRPr/>
                </a:pPr>
                <a:r>
                  <a:rPr lang="es-PY"/>
                  <a:t>index</a:t>
                </a:r>
                <a:r>
                  <a:rPr lang="es-PY" baseline="0"/>
                  <a:t> (1960=100)</a:t>
                </a:r>
              </a:p>
            </c:rich>
          </c:tx>
          <c:overlay val="0"/>
        </c:title>
        <c:numFmt formatCode="General" sourceLinked="1"/>
        <c:majorTickMark val="out"/>
        <c:minorTickMark val="none"/>
        <c:tickLblPos val="nextTo"/>
        <c:spPr>
          <a:ln/>
        </c:spPr>
        <c:crossAx val="2131185664"/>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Déficit primario </a:t>
            </a:r>
          </a:p>
          <a:p>
            <a:pPr>
              <a:defRPr/>
            </a:pPr>
            <a:r>
              <a:rPr lang="es-PY"/>
              <a:t>(% del PIB)</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numRef>
              <c:f>'Base_Budget Constraint'!$A$27:$A$79</c:f>
              <c:numCache>
                <c:formatCode>General</c:formatCode>
                <c:ptCount val="53"/>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numCache>
            </c:numRef>
          </c:cat>
          <c:val>
            <c:numRef>
              <c:f>'Base_Budget Constraint'!$AC$27:$AC$79</c:f>
              <c:numCache>
                <c:formatCode>0%</c:formatCode>
                <c:ptCount val="53"/>
                <c:pt idx="0">
                  <c:v>-1.9858699851844526E-3</c:v>
                </c:pt>
                <c:pt idx="1">
                  <c:v>1.1828957956874523E-2</c:v>
                </c:pt>
                <c:pt idx="2">
                  <c:v>1.2137918277521852E-2</c:v>
                </c:pt>
                <c:pt idx="3">
                  <c:v>-6.5295060642463366E-3</c:v>
                </c:pt>
                <c:pt idx="4">
                  <c:v>1.6558274557070547E-2</c:v>
                </c:pt>
                <c:pt idx="5">
                  <c:v>4.5713019565885291E-2</c:v>
                </c:pt>
                <c:pt idx="6">
                  <c:v>4.8993392943462298E-2</c:v>
                </c:pt>
                <c:pt idx="7">
                  <c:v>1.1336109342219644E-2</c:v>
                </c:pt>
                <c:pt idx="8">
                  <c:v>5.7339831146645424E-3</c:v>
                </c:pt>
                <c:pt idx="9">
                  <c:v>1.6032097984891202E-2</c:v>
                </c:pt>
                <c:pt idx="10">
                  <c:v>2.5952251496290775E-2</c:v>
                </c:pt>
                <c:pt idx="11">
                  <c:v>9.3178392809118299E-3</c:v>
                </c:pt>
                <c:pt idx="12">
                  <c:v>5.2133328194812149E-3</c:v>
                </c:pt>
                <c:pt idx="13">
                  <c:v>5.1020219081579381E-2</c:v>
                </c:pt>
                <c:pt idx="14">
                  <c:v>2.6486114295830299E-2</c:v>
                </c:pt>
                <c:pt idx="15">
                  <c:v>9.1797111816525299E-3</c:v>
                </c:pt>
                <c:pt idx="16">
                  <c:v>1.4476393250990803E-2</c:v>
                </c:pt>
                <c:pt idx="17">
                  <c:v>-1.6197041106123272E-2</c:v>
                </c:pt>
                <c:pt idx="18">
                  <c:v>-4.0330144684853214E-3</c:v>
                </c:pt>
                <c:pt idx="19">
                  <c:v>2.8817987670056652E-2</c:v>
                </c:pt>
                <c:pt idx="20">
                  <c:v>1.0027406966066769E-2</c:v>
                </c:pt>
                <c:pt idx="21">
                  <c:v>4.9542549409997978E-2</c:v>
                </c:pt>
                <c:pt idx="22">
                  <c:v>5.7739397128618239E-2</c:v>
                </c:pt>
                <c:pt idx="23">
                  <c:v>2.1256641375142372E-2</c:v>
                </c:pt>
                <c:pt idx="24">
                  <c:v>1.3762587028057976E-2</c:v>
                </c:pt>
                <c:pt idx="25">
                  <c:v>8.2117265722302917E-3</c:v>
                </c:pt>
                <c:pt idx="26">
                  <c:v>1.3754138281225627E-2</c:v>
                </c:pt>
                <c:pt idx="27">
                  <c:v>2.9187890876385052E-3</c:v>
                </c:pt>
                <c:pt idx="28">
                  <c:v>-5.1578931272886701E-2</c:v>
                </c:pt>
                <c:pt idx="29">
                  <c:v>-1.836441469103639E-2</c:v>
                </c:pt>
                <c:pt idx="30">
                  <c:v>-1.9856164580878588E-3</c:v>
                </c:pt>
                <c:pt idx="31">
                  <c:v>-1.5787664704104053E-2</c:v>
                </c:pt>
                <c:pt idx="32">
                  <c:v>-2.8648906239615881E-2</c:v>
                </c:pt>
                <c:pt idx="33">
                  <c:v>-1.17093173374683E-2</c:v>
                </c:pt>
                <c:pt idx="34">
                  <c:v>-1.0046038470536353E-2</c:v>
                </c:pt>
                <c:pt idx="35">
                  <c:v>7.4569472001049875E-3</c:v>
                </c:pt>
                <c:pt idx="36">
                  <c:v>-1.7627308929904783E-2</c:v>
                </c:pt>
                <c:pt idx="37">
                  <c:v>2.8575712199309728E-2</c:v>
                </c:pt>
                <c:pt idx="38">
                  <c:v>2.8945353052905715E-2</c:v>
                </c:pt>
                <c:pt idx="39">
                  <c:v>-9.9838576704444661E-3</c:v>
                </c:pt>
                <c:pt idx="40">
                  <c:v>2.0637656403093251E-2</c:v>
                </c:pt>
                <c:pt idx="41">
                  <c:v>-1.062269985414103E-2</c:v>
                </c:pt>
                <c:pt idx="42">
                  <c:v>-2.1459125152034349E-2</c:v>
                </c:pt>
                <c:pt idx="43">
                  <c:v>-1.4589933950646556E-2</c:v>
                </c:pt>
                <c:pt idx="44">
                  <c:v>-2.0807571819353624E-2</c:v>
                </c:pt>
                <c:pt idx="45">
                  <c:v>-1.8132912118761356E-2</c:v>
                </c:pt>
                <c:pt idx="46">
                  <c:v>-3.0258425469593144E-2</c:v>
                </c:pt>
                <c:pt idx="47">
                  <c:v>3.4338402826252822E-3</c:v>
                </c:pt>
                <c:pt idx="48">
                  <c:v>-8.929349655473191E-3</c:v>
                </c:pt>
                <c:pt idx="49">
                  <c:v>-1.3615591717657808E-2</c:v>
                </c:pt>
                <c:pt idx="50">
                  <c:v>1.5447232822953856E-2</c:v>
                </c:pt>
                <c:pt idx="51">
                  <c:v>1.7664602327587233E-2</c:v>
                </c:pt>
                <c:pt idx="52">
                  <c:v>1.2994887700163785E-2</c:v>
                </c:pt>
              </c:numCache>
            </c:numRef>
          </c:val>
          <c:extLst>
            <c:ext xmlns:c16="http://schemas.microsoft.com/office/drawing/2014/chart" uri="{C3380CC4-5D6E-409C-BE32-E72D297353CC}">
              <c16:uniqueId val="{00000000-A8DC-448E-B9EF-1A9C89E32A87}"/>
            </c:ext>
          </c:extLst>
        </c:ser>
        <c:dLbls>
          <c:showLegendKey val="0"/>
          <c:showVal val="0"/>
          <c:showCatName val="0"/>
          <c:showSerName val="0"/>
          <c:showPercent val="0"/>
          <c:showBubbleSize val="0"/>
        </c:dLbls>
        <c:gapWidth val="219"/>
        <c:overlap val="-27"/>
        <c:axId val="2131198416"/>
        <c:axId val="2131201792"/>
      </c:barChart>
      <c:catAx>
        <c:axId val="213119841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1201792"/>
        <c:crosses val="autoZero"/>
        <c:auto val="1"/>
        <c:lblAlgn val="ctr"/>
        <c:lblOffset val="100"/>
        <c:noMultiLvlLbl val="0"/>
      </c:catAx>
      <c:valAx>
        <c:axId val="213120179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1198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Déficit</a:t>
            </a:r>
            <a:endParaRPr lang="es-PY" baseline="0"/>
          </a:p>
          <a:p>
            <a:pPr>
              <a:defRPr/>
            </a:pPr>
            <a:r>
              <a:rPr lang="es-PY" baseline="0"/>
              <a:t>(% del PIB)</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
          <c:order val="0"/>
          <c:spPr>
            <a:solidFill>
              <a:schemeClr val="accent3"/>
            </a:solidFill>
            <a:ln>
              <a:noFill/>
            </a:ln>
            <a:effectLst/>
          </c:spPr>
          <c:invertIfNegative val="0"/>
          <c:cat>
            <c:numRef>
              <c:f>Deficit!$B$7:$B$59</c:f>
              <c:numCache>
                <c:formatCode>General</c:formatCode>
                <c:ptCount val="53"/>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numCache>
            </c:numRef>
          </c:cat>
          <c:val>
            <c:numRef>
              <c:f>Deficit!$L$7:$L$59</c:f>
              <c:numCache>
                <c:formatCode>0.0%</c:formatCode>
                <c:ptCount val="53"/>
                <c:pt idx="0">
                  <c:v>3.6131389280240752E-3</c:v>
                </c:pt>
                <c:pt idx="1">
                  <c:v>9.8735188975582304E-3</c:v>
                </c:pt>
                <c:pt idx="2">
                  <c:v>7.833764008432352E-3</c:v>
                </c:pt>
                <c:pt idx="3">
                  <c:v>3.6496103459517538E-4</c:v>
                </c:pt>
                <c:pt idx="4">
                  <c:v>1.598592074599544E-2</c:v>
                </c:pt>
                <c:pt idx="5">
                  <c:v>4.6463442237513655E-2</c:v>
                </c:pt>
                <c:pt idx="6">
                  <c:v>3.4483804746657534E-2</c:v>
                </c:pt>
                <c:pt idx="7">
                  <c:v>1.4884562474178104E-2</c:v>
                </c:pt>
                <c:pt idx="8">
                  <c:v>9.2488782231589673E-3</c:v>
                </c:pt>
                <c:pt idx="9">
                  <c:v>2.0753203970370698E-2</c:v>
                </c:pt>
                <c:pt idx="10">
                  <c:v>3.2757121501925578E-2</c:v>
                </c:pt>
                <c:pt idx="11">
                  <c:v>1.436118607515152E-2</c:v>
                </c:pt>
                <c:pt idx="12">
                  <c:v>3.1484864690664921E-3</c:v>
                </c:pt>
                <c:pt idx="13">
                  <c:v>4.5265865912841666E-2</c:v>
                </c:pt>
                <c:pt idx="14">
                  <c:v>3.4036705185693517E-3</c:v>
                </c:pt>
                <c:pt idx="15">
                  <c:v>2.7141826157432666E-3</c:v>
                </c:pt>
                <c:pt idx="16">
                  <c:v>-3.1522096117258358E-3</c:v>
                </c:pt>
                <c:pt idx="17">
                  <c:v>-1.6188823856589221E-2</c:v>
                </c:pt>
                <c:pt idx="18">
                  <c:v>-3.9105873964193471E-3</c:v>
                </c:pt>
                <c:pt idx="19">
                  <c:v>2.8987257343570428E-2</c:v>
                </c:pt>
                <c:pt idx="20">
                  <c:v>1.0159826291363382E-2</c:v>
                </c:pt>
                <c:pt idx="21">
                  <c:v>4.9643284437978275E-2</c:v>
                </c:pt>
                <c:pt idx="22">
                  <c:v>5.8750207562674774E-2</c:v>
                </c:pt>
                <c:pt idx="23">
                  <c:v>2.1965811282529276E-2</c:v>
                </c:pt>
                <c:pt idx="24">
                  <c:v>1.4219422971784121E-2</c:v>
                </c:pt>
                <c:pt idx="25">
                  <c:v>8.4967067805714683E-3</c:v>
                </c:pt>
                <c:pt idx="26">
                  <c:v>1.3936929130865533E-2</c:v>
                </c:pt>
                <c:pt idx="27">
                  <c:v>3.035281154167002E-3</c:v>
                </c:pt>
                <c:pt idx="28">
                  <c:v>-5.151015390596235E-2</c:v>
                </c:pt>
                <c:pt idx="29">
                  <c:v>-1.8305075787229504E-2</c:v>
                </c:pt>
                <c:pt idx="30">
                  <c:v>-1.932245543446399E-3</c:v>
                </c:pt>
                <c:pt idx="31">
                  <c:v>-1.5769576859947898E-2</c:v>
                </c:pt>
                <c:pt idx="32">
                  <c:v>-2.8638307173549669E-2</c:v>
                </c:pt>
                <c:pt idx="33">
                  <c:v>-1.0881186050815981E-2</c:v>
                </c:pt>
                <c:pt idx="34">
                  <c:v>-9.5165306882831497E-3</c:v>
                </c:pt>
                <c:pt idx="35">
                  <c:v>8.2047687506990336E-3</c:v>
                </c:pt>
                <c:pt idx="36">
                  <c:v>-1.623705056788332E-2</c:v>
                </c:pt>
                <c:pt idx="37">
                  <c:v>2.9767768409876855E-2</c:v>
                </c:pt>
                <c:pt idx="38">
                  <c:v>2.9896557785467636E-2</c:v>
                </c:pt>
                <c:pt idx="39">
                  <c:v>-9.1643245338288697E-3</c:v>
                </c:pt>
                <c:pt idx="40">
                  <c:v>2.2325506519128763E-2</c:v>
                </c:pt>
                <c:pt idx="41">
                  <c:v>-9.2490258624493647E-3</c:v>
                </c:pt>
                <c:pt idx="42">
                  <c:v>-2.0033953434266102E-2</c:v>
                </c:pt>
                <c:pt idx="43">
                  <c:v>-1.30370362521035E-2</c:v>
                </c:pt>
                <c:pt idx="44">
                  <c:v>-1.9905876196580151E-2</c:v>
                </c:pt>
                <c:pt idx="45">
                  <c:v>-1.7102052341623791E-2</c:v>
                </c:pt>
                <c:pt idx="46">
                  <c:v>-2.9073278303367717E-2</c:v>
                </c:pt>
                <c:pt idx="47">
                  <c:v>4.7033269491675717E-3</c:v>
                </c:pt>
                <c:pt idx="48">
                  <c:v>-7.7458250747716615E-3</c:v>
                </c:pt>
                <c:pt idx="49">
                  <c:v>-1.2932474096764748E-2</c:v>
                </c:pt>
                <c:pt idx="50">
                  <c:v>1.5984753187422075E-2</c:v>
                </c:pt>
                <c:pt idx="51">
                  <c:v>1.9147828182758442E-2</c:v>
                </c:pt>
                <c:pt idx="52">
                  <c:v>1.4762325994649831E-2</c:v>
                </c:pt>
              </c:numCache>
            </c:numRef>
          </c:val>
          <c:extLst>
            <c:ext xmlns:c16="http://schemas.microsoft.com/office/drawing/2014/chart" uri="{C3380CC4-5D6E-409C-BE32-E72D297353CC}">
              <c16:uniqueId val="{00000000-FE90-4588-B433-C88983210238}"/>
            </c:ext>
          </c:extLst>
        </c:ser>
        <c:dLbls>
          <c:showLegendKey val="0"/>
          <c:showVal val="0"/>
          <c:showCatName val="0"/>
          <c:showSerName val="0"/>
          <c:showPercent val="0"/>
          <c:showBubbleSize val="0"/>
        </c:dLbls>
        <c:gapWidth val="150"/>
        <c:axId val="2129855120"/>
        <c:axId val="2129851792"/>
      </c:barChart>
      <c:catAx>
        <c:axId val="2129855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9851792"/>
        <c:crosses val="autoZero"/>
        <c:auto val="1"/>
        <c:lblAlgn val="ctr"/>
        <c:lblOffset val="100"/>
        <c:noMultiLvlLbl val="0"/>
      </c:catAx>
      <c:valAx>
        <c:axId val="212985179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98551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Inflación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577C-46F4-8AB4-9286CB95EDA2}"/>
            </c:ext>
          </c:extLst>
        </c:ser>
        <c:ser>
          <c:idx val="1"/>
          <c:order val="1"/>
          <c:spPr>
            <a:ln w="28575" cap="rnd">
              <a:solidFill>
                <a:schemeClr val="accent2"/>
              </a:solidFill>
              <a:round/>
            </a:ln>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577C-46F4-8AB4-9286CB95EDA2}"/>
            </c:ext>
          </c:extLst>
        </c:ser>
        <c:ser>
          <c:idx val="2"/>
          <c:order val="2"/>
          <c:spPr>
            <a:ln w="28575" cap="rnd">
              <a:solidFill>
                <a:srgbClr val="FFC000"/>
              </a:solidFill>
              <a:round/>
            </a:ln>
            <a:effectLst/>
          </c:spPr>
          <c:marker>
            <c:symbol val="none"/>
          </c:marker>
          <c:dLbls>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77C-46F4-8AB4-9286CB95EDA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577C-46F4-8AB4-9286CB95EDA2}"/>
            </c:ext>
          </c:extLst>
        </c:ser>
        <c:ser>
          <c:idx val="3"/>
          <c:order val="3"/>
          <c:spPr>
            <a:ln w="28575" cap="rnd">
              <a:solidFill>
                <a:srgbClr val="FFC000"/>
              </a:solidFill>
              <a:round/>
            </a:ln>
            <a:effectLst/>
          </c:spPr>
          <c:marker>
            <c:symbol val="none"/>
          </c:marker>
          <c:dLbls>
            <c:dLbl>
              <c:idx val="27"/>
              <c:layout>
                <c:manualLayout>
                  <c:x val="-1.6129032258064498E-2"/>
                  <c:y val="-2.31481481481480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77C-46F4-8AB4-9286CB95EDA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5-577C-46F4-8AB4-9286CB95EDA2}"/>
            </c:ext>
          </c:extLst>
        </c:ser>
        <c:ser>
          <c:idx val="4"/>
          <c:order val="4"/>
          <c:spPr>
            <a:ln w="28575" cap="rnd">
              <a:solidFill>
                <a:srgbClr val="FFC000"/>
              </a:solidFill>
              <a:round/>
            </a:ln>
            <a:effectLst/>
          </c:spPr>
          <c:marker>
            <c:symbol val="none"/>
          </c:marker>
          <c:dLbls>
            <c:dLbl>
              <c:idx val="4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77C-46F4-8AB4-9286CB95EDA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7-577C-46F4-8AB4-9286CB95EDA2}"/>
            </c:ext>
          </c:extLst>
        </c:ser>
        <c:ser>
          <c:idx val="5"/>
          <c:order val="5"/>
          <c:spPr>
            <a:ln w="28575" cap="rnd">
              <a:solidFill>
                <a:srgbClr val="FFC000"/>
              </a:solidFill>
              <a:round/>
            </a:ln>
            <a:effectLst/>
          </c:spPr>
          <c:marker>
            <c:symbol val="none"/>
          </c:marker>
          <c:dLbls>
            <c:dLbl>
              <c:idx val="52"/>
              <c:layout>
                <c:manualLayout>
                  <c:x val="-1.3142022614730299E-16"/>
                  <c:y val="-9.25925925925935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77C-46F4-8AB4-9286CB95EDA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9-577C-46F4-8AB4-9286CB95EDA2}"/>
            </c:ext>
          </c:extLst>
        </c:ser>
        <c:dLbls>
          <c:showLegendKey val="0"/>
          <c:showVal val="0"/>
          <c:showCatName val="0"/>
          <c:showSerName val="0"/>
          <c:showPercent val="0"/>
          <c:showBubbleSize val="0"/>
        </c:dLbls>
        <c:smooth val="0"/>
        <c:axId val="2129751344"/>
        <c:axId val="2129748096"/>
      </c:lineChart>
      <c:catAx>
        <c:axId val="2129751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9748096"/>
        <c:crosses val="autoZero"/>
        <c:auto val="1"/>
        <c:lblAlgn val="ctr"/>
        <c:lblOffset val="100"/>
        <c:noMultiLvlLbl val="0"/>
      </c:catAx>
      <c:valAx>
        <c:axId val="2129748096"/>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9751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Deuda externa</a:t>
            </a:r>
          </a:p>
          <a:p>
            <a:pPr>
              <a:defRPr/>
            </a:pPr>
            <a:r>
              <a:rPr lang="es-PY"/>
              <a:t>(millones de USD)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'Base_Budget Constraint'!$A$27:$A$79</c:f>
              <c:numCache>
                <c:formatCode>General</c:formatCode>
                <c:ptCount val="53"/>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numCache>
            </c:numRef>
          </c:cat>
          <c:val>
            <c:numRef>
              <c:f>'Base_Budget Constraint'!$F$27:$F$79</c:f>
              <c:numCache>
                <c:formatCode>General</c:formatCode>
                <c:ptCount val="53"/>
                <c:pt idx="0">
                  <c:v>29.193999999999999</c:v>
                </c:pt>
                <c:pt idx="1">
                  <c:v>29.581</c:v>
                </c:pt>
                <c:pt idx="2">
                  <c:v>33.645000000000003</c:v>
                </c:pt>
                <c:pt idx="3">
                  <c:v>41.984999999999999</c:v>
                </c:pt>
                <c:pt idx="4">
                  <c:v>52.198999999999998</c:v>
                </c:pt>
                <c:pt idx="5">
                  <c:v>78.063000000000002</c:v>
                </c:pt>
                <c:pt idx="6">
                  <c:v>100.02</c:v>
                </c:pt>
                <c:pt idx="7">
                  <c:v>121.334</c:v>
                </c:pt>
                <c:pt idx="8">
                  <c:v>146.977</c:v>
                </c:pt>
                <c:pt idx="9">
                  <c:v>165.71299999999999</c:v>
                </c:pt>
                <c:pt idx="10">
                  <c:v>181.43600000000001</c:v>
                </c:pt>
                <c:pt idx="11">
                  <c:v>195.39500000000001</c:v>
                </c:pt>
                <c:pt idx="12">
                  <c:v>225.84200000000001</c:v>
                </c:pt>
                <c:pt idx="13">
                  <c:v>267.37400000000002</c:v>
                </c:pt>
                <c:pt idx="14">
                  <c:v>383.41800000000001</c:v>
                </c:pt>
                <c:pt idx="15">
                  <c:v>431.73200000000003</c:v>
                </c:pt>
                <c:pt idx="16">
                  <c:v>561.75300000000004</c:v>
                </c:pt>
                <c:pt idx="17">
                  <c:v>573.96799999999996</c:v>
                </c:pt>
                <c:pt idx="18">
                  <c:v>690.64</c:v>
                </c:pt>
                <c:pt idx="19">
                  <c:v>713.755</c:v>
                </c:pt>
                <c:pt idx="20">
                  <c:v>941.42200000000003</c:v>
                </c:pt>
                <c:pt idx="21">
                  <c:v>1203.787</c:v>
                </c:pt>
                <c:pt idx="22">
                  <c:v>1402.075</c:v>
                </c:pt>
                <c:pt idx="23">
                  <c:v>1522.69</c:v>
                </c:pt>
                <c:pt idx="24">
                  <c:v>1722.432</c:v>
                </c:pt>
                <c:pt idx="25">
                  <c:v>1924.1590000000001</c:v>
                </c:pt>
                <c:pt idx="26">
                  <c:v>1884.646</c:v>
                </c:pt>
                <c:pt idx="27">
                  <c:v>2076.17</c:v>
                </c:pt>
                <c:pt idx="28">
                  <c:v>1669.8789999999999</c:v>
                </c:pt>
                <c:pt idx="29">
                  <c:v>1636.72</c:v>
                </c:pt>
                <c:pt idx="30">
                  <c:v>1248.807</c:v>
                </c:pt>
                <c:pt idx="31">
                  <c:v>1217.4939999999999</c:v>
                </c:pt>
                <c:pt idx="32">
                  <c:v>1240.2619999999999</c:v>
                </c:pt>
                <c:pt idx="33">
                  <c:v>1406.789</c:v>
                </c:pt>
                <c:pt idx="34">
                  <c:v>1398.865</c:v>
                </c:pt>
                <c:pt idx="35">
                  <c:v>1444.3050000000001</c:v>
                </c:pt>
                <c:pt idx="36">
                  <c:v>1599.3810000000001</c:v>
                </c:pt>
                <c:pt idx="37">
                  <c:v>2111.4670000000001</c:v>
                </c:pt>
                <c:pt idx="38">
                  <c:v>2234.3220000000001</c:v>
                </c:pt>
                <c:pt idx="39">
                  <c:v>2162.4070000000002</c:v>
                </c:pt>
                <c:pt idx="40">
                  <c:v>2283.0509999999999</c:v>
                </c:pt>
                <c:pt idx="41">
                  <c:v>2477.5729999999999</c:v>
                </c:pt>
                <c:pt idx="42">
                  <c:v>2390.6869999999999</c:v>
                </c:pt>
                <c:pt idx="43">
                  <c:v>2271.1390000000001</c:v>
                </c:pt>
                <c:pt idx="44">
                  <c:v>2230.0569999999998</c:v>
                </c:pt>
                <c:pt idx="45">
                  <c:v>2205.33</c:v>
                </c:pt>
                <c:pt idx="46">
                  <c:v>2234.1979999999999</c:v>
                </c:pt>
                <c:pt idx="47">
                  <c:v>2236.8530000000001</c:v>
                </c:pt>
                <c:pt idx="48">
                  <c:v>2335.4250000000002</c:v>
                </c:pt>
                <c:pt idx="49">
                  <c:v>2284.723</c:v>
                </c:pt>
                <c:pt idx="50">
                  <c:v>2241.06</c:v>
                </c:pt>
                <c:pt idx="51">
                  <c:v>2676.9250000000002</c:v>
                </c:pt>
                <c:pt idx="52" formatCode="0.0000">
                  <c:v>3679.598</c:v>
                </c:pt>
              </c:numCache>
            </c:numRef>
          </c:val>
          <c:smooth val="0"/>
          <c:extLst>
            <c:ext xmlns:c16="http://schemas.microsoft.com/office/drawing/2014/chart" uri="{C3380CC4-5D6E-409C-BE32-E72D297353CC}">
              <c16:uniqueId val="{00000000-3979-403F-96F6-724D982D8A56}"/>
            </c:ext>
          </c:extLst>
        </c:ser>
        <c:dLbls>
          <c:showLegendKey val="0"/>
          <c:showVal val="0"/>
          <c:showCatName val="0"/>
          <c:showSerName val="0"/>
          <c:showPercent val="0"/>
          <c:showBubbleSize val="0"/>
        </c:dLbls>
        <c:smooth val="0"/>
        <c:axId val="2129739072"/>
        <c:axId val="2129735728"/>
      </c:lineChart>
      <c:catAx>
        <c:axId val="2129739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9735728"/>
        <c:crosses val="autoZero"/>
        <c:auto val="1"/>
        <c:lblAlgn val="ctr"/>
        <c:lblOffset val="100"/>
        <c:noMultiLvlLbl val="0"/>
      </c:catAx>
      <c:valAx>
        <c:axId val="212973572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97390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Deuda externa </a:t>
            </a:r>
            <a:endParaRPr lang="es-PY" baseline="0"/>
          </a:p>
          <a:p>
            <a:pPr>
              <a:defRPr/>
            </a:pPr>
            <a:r>
              <a:rPr lang="es-PY" baseline="0"/>
              <a:t>%  del PIB</a:t>
            </a:r>
            <a:endParaRPr lang="es-PY"/>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Deuda externa ajustada por TCR</c:v>
          </c:tx>
          <c:spPr>
            <a:ln w="28575" cap="rnd">
              <a:solidFill>
                <a:schemeClr val="accent1"/>
              </a:solidFill>
              <a:round/>
            </a:ln>
            <a:effectLst/>
          </c:spPr>
          <c:marker>
            <c:symbol val="none"/>
          </c:marker>
          <c:cat>
            <c:numRef>
              <c:f>'Base_Budget Constraint'!$A$27:$A$79</c:f>
              <c:numCache>
                <c:formatCode>General</c:formatCode>
                <c:ptCount val="53"/>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numCache>
            </c:numRef>
          </c:cat>
          <c:val>
            <c:numRef>
              <c:f>'Base_Budget Constraint'!$O$27:$O$79</c:f>
              <c:numCache>
                <c:formatCode>0.0%</c:formatCode>
                <c:ptCount val="53"/>
                <c:pt idx="0">
                  <c:v>0.11179543037153788</c:v>
                </c:pt>
                <c:pt idx="1">
                  <c:v>0.10643121895973796</c:v>
                </c:pt>
                <c:pt idx="2">
                  <c:v>0.11504318125431383</c:v>
                </c:pt>
                <c:pt idx="3">
                  <c:v>0.13266869237712736</c:v>
                </c:pt>
                <c:pt idx="4">
                  <c:v>0.15631609708300581</c:v>
                </c:pt>
                <c:pt idx="5">
                  <c:v>0.20785369817070204</c:v>
                </c:pt>
                <c:pt idx="6">
                  <c:v>0.24329989476608241</c:v>
                </c:pt>
                <c:pt idx="7">
                  <c:v>0.26544413327101574</c:v>
                </c:pt>
                <c:pt idx="8">
                  <c:v>0.28855322987009796</c:v>
                </c:pt>
                <c:pt idx="9">
                  <c:v>0.29851413897691731</c:v>
                </c:pt>
                <c:pt idx="10">
                  <c:v>0.29641487036880049</c:v>
                </c:pt>
                <c:pt idx="11">
                  <c:v>0.27366913427635026</c:v>
                </c:pt>
                <c:pt idx="12">
                  <c:v>0.25979838178900538</c:v>
                </c:pt>
                <c:pt idx="13">
                  <c:v>0.26917877694477832</c:v>
                </c:pt>
                <c:pt idx="14">
                  <c:v>0.34233464413698944</c:v>
                </c:pt>
                <c:pt idx="15">
                  <c:v>0.32402025843561127</c:v>
                </c:pt>
                <c:pt idx="16">
                  <c:v>0.34520481420853788</c:v>
                </c:pt>
                <c:pt idx="17">
                  <c:v>0.27831029890170611</c:v>
                </c:pt>
                <c:pt idx="18">
                  <c:v>0.26642654884856304</c:v>
                </c:pt>
                <c:pt idx="19">
                  <c:v>0.2315542418810955</c:v>
                </c:pt>
                <c:pt idx="20">
                  <c:v>0.29831737502756295</c:v>
                </c:pt>
                <c:pt idx="21">
                  <c:v>0.37905597454250956</c:v>
                </c:pt>
                <c:pt idx="22">
                  <c:v>0.41308819212337816</c:v>
                </c:pt>
                <c:pt idx="23">
                  <c:v>0.41350313860760757</c:v>
                </c:pt>
                <c:pt idx="24">
                  <c:v>0.44078159680090778</c:v>
                </c:pt>
                <c:pt idx="25">
                  <c:v>0.4382661731665693</c:v>
                </c:pt>
                <c:pt idx="26">
                  <c:v>0.38813834347298137</c:v>
                </c:pt>
                <c:pt idx="27">
                  <c:v>0.38209462700735369</c:v>
                </c:pt>
                <c:pt idx="28">
                  <c:v>0.27816606264452742</c:v>
                </c:pt>
                <c:pt idx="29">
                  <c:v>0.25560636967182987</c:v>
                </c:pt>
                <c:pt idx="30">
                  <c:v>0.18636689901013653</c:v>
                </c:pt>
                <c:pt idx="31">
                  <c:v>0.16851523199413729</c:v>
                </c:pt>
                <c:pt idx="32">
                  <c:v>0.15875200924339056</c:v>
                </c:pt>
                <c:pt idx="33">
                  <c:v>0.1643933244380163</c:v>
                </c:pt>
                <c:pt idx="34">
                  <c:v>0.1557595122463592</c:v>
                </c:pt>
                <c:pt idx="35">
                  <c:v>0.15169163043744655</c:v>
                </c:pt>
                <c:pt idx="36">
                  <c:v>0.16520175897713671</c:v>
                </c:pt>
                <c:pt idx="37">
                  <c:v>0.21533547151908716</c:v>
                </c:pt>
                <c:pt idx="38">
                  <c:v>0.2256213560450899</c:v>
                </c:pt>
                <c:pt idx="39">
                  <c:v>0.21683132546583506</c:v>
                </c:pt>
                <c:pt idx="40">
                  <c:v>0.22366145707722368</c:v>
                </c:pt>
                <c:pt idx="41">
                  <c:v>0.22837288905867636</c:v>
                </c:pt>
                <c:pt idx="42">
                  <c:v>0.20509463804825023</c:v>
                </c:pt>
                <c:pt idx="43">
                  <c:v>0.1844679070981014</c:v>
                </c:pt>
                <c:pt idx="44">
                  <c:v>0.168541255900059</c:v>
                </c:pt>
                <c:pt idx="45">
                  <c:v>0.15190132881090182</c:v>
                </c:pt>
                <c:pt idx="46">
                  <c:v>0.1445566542202901</c:v>
                </c:pt>
                <c:pt idx="47">
                  <c:v>0.14671240598056443</c:v>
                </c:pt>
                <c:pt idx="48">
                  <c:v>0.13344793119112308</c:v>
                </c:pt>
                <c:pt idx="49">
                  <c:v>0.12151779650534515</c:v>
                </c:pt>
                <c:pt idx="50">
                  <c:v>0.11862551166202466</c:v>
                </c:pt>
                <c:pt idx="51">
                  <c:v>0.12241772955372428</c:v>
                </c:pt>
                <c:pt idx="52">
                  <c:v>0.15947629416157724</c:v>
                </c:pt>
              </c:numCache>
            </c:numRef>
          </c:val>
          <c:smooth val="0"/>
          <c:extLst>
            <c:ext xmlns:c16="http://schemas.microsoft.com/office/drawing/2014/chart" uri="{C3380CC4-5D6E-409C-BE32-E72D297353CC}">
              <c16:uniqueId val="{00000000-6072-46F6-A46A-575AB7AAE072}"/>
            </c:ext>
          </c:extLst>
        </c:ser>
        <c:ser>
          <c:idx val="1"/>
          <c:order val="1"/>
          <c:tx>
            <c:v>Deuda externa</c:v>
          </c:tx>
          <c:spPr>
            <a:ln w="28575" cap="rnd">
              <a:solidFill>
                <a:schemeClr val="accent2"/>
              </a:solidFill>
              <a:round/>
            </a:ln>
            <a:effectLst/>
          </c:spPr>
          <c:marker>
            <c:symbol val="none"/>
          </c:marker>
          <c:cat>
            <c:numRef>
              <c:f>'Base_Budget Constraint'!$A$27:$A$79</c:f>
              <c:numCache>
                <c:formatCode>General</c:formatCode>
                <c:ptCount val="53"/>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numCache>
            </c:numRef>
          </c:cat>
          <c:val>
            <c:numRef>
              <c:f>'Base_Budget Constraint'!$Q$27:$Q$79</c:f>
              <c:numCache>
                <c:formatCode>0.0%</c:formatCode>
                <c:ptCount val="53"/>
                <c:pt idx="0">
                  <c:v>9.0045590860139288E-2</c:v>
                </c:pt>
                <c:pt idx="1">
                  <c:v>8.5802375556289237E-2</c:v>
                </c:pt>
                <c:pt idx="2">
                  <c:v>9.1586984964222476E-2</c:v>
                </c:pt>
                <c:pt idx="3">
                  <c:v>0.10492847927838704</c:v>
                </c:pt>
                <c:pt idx="4">
                  <c:v>0.12378218001477188</c:v>
                </c:pt>
                <c:pt idx="5">
                  <c:v>0.17288777223075041</c:v>
                </c:pt>
                <c:pt idx="6">
                  <c:v>0.20968003425448536</c:v>
                </c:pt>
                <c:pt idx="7">
                  <c:v>0.2366435538773736</c:v>
                </c:pt>
                <c:pt idx="8">
                  <c:v>0.26783568287765397</c:v>
                </c:pt>
                <c:pt idx="9">
                  <c:v>0.27208560648141206</c:v>
                </c:pt>
                <c:pt idx="10">
                  <c:v>0.26020099312013362</c:v>
                </c:pt>
                <c:pt idx="11">
                  <c:v>0.21970365879415479</c:v>
                </c:pt>
                <c:pt idx="12">
                  <c:v>0.18826144279157661</c:v>
                </c:pt>
                <c:pt idx="13">
                  <c:v>0.19777801306077378</c:v>
                </c:pt>
                <c:pt idx="14">
                  <c:v>0.24884018826270005</c:v>
                </c:pt>
                <c:pt idx="15">
                  <c:v>0.22575953458955514</c:v>
                </c:pt>
                <c:pt idx="16">
                  <c:v>0.23901035239206614</c:v>
                </c:pt>
                <c:pt idx="17">
                  <c:v>0.1830766572738341</c:v>
                </c:pt>
                <c:pt idx="18">
                  <c:v>0.16866226214800234</c:v>
                </c:pt>
                <c:pt idx="19">
                  <c:v>0.13674733236143768</c:v>
                </c:pt>
                <c:pt idx="20">
                  <c:v>0.18577825130022704</c:v>
                </c:pt>
                <c:pt idx="21">
                  <c:v>0.22984296031803858</c:v>
                </c:pt>
                <c:pt idx="22">
                  <c:v>0.3451497993970582</c:v>
                </c:pt>
                <c:pt idx="23">
                  <c:v>0.51369059018709695</c:v>
                </c:pt>
                <c:pt idx="24">
                  <c:v>0.50036110925070287</c:v>
                </c:pt>
                <c:pt idx="25">
                  <c:v>0.50926359953858891</c:v>
                </c:pt>
                <c:pt idx="26">
                  <c:v>0.46162592944048003</c:v>
                </c:pt>
                <c:pt idx="27">
                  <c:v>0.47860773497231596</c:v>
                </c:pt>
                <c:pt idx="28">
                  <c:v>0.29198447196207333</c:v>
                </c:pt>
                <c:pt idx="29">
                  <c:v>0.2337897758688964</c:v>
                </c:pt>
                <c:pt idx="30">
                  <c:v>0.17395378224256716</c:v>
                </c:pt>
                <c:pt idx="31">
                  <c:v>0.16741981511297016</c:v>
                </c:pt>
                <c:pt idx="32">
                  <c:v>0.15748622600484707</c:v>
                </c:pt>
                <c:pt idx="33">
                  <c:v>0.15507374620552267</c:v>
                </c:pt>
                <c:pt idx="34">
                  <c:v>0.14279920359813636</c:v>
                </c:pt>
                <c:pt idx="35">
                  <c:v>0.14501116993991278</c:v>
                </c:pt>
                <c:pt idx="36">
                  <c:v>0.17726254836591379</c:v>
                </c:pt>
                <c:pt idx="37">
                  <c:v>0.25158049511129421</c:v>
                </c:pt>
                <c:pt idx="38">
                  <c:v>0.27224043735645609</c:v>
                </c:pt>
                <c:pt idx="39">
                  <c:v>0.28221926141869502</c:v>
                </c:pt>
                <c:pt idx="40">
                  <c:v>0.36088991669396292</c:v>
                </c:pt>
                <c:pt idx="41">
                  <c:v>0.37605845652198705</c:v>
                </c:pt>
                <c:pt idx="42">
                  <c:v>0.29659654998498458</c:v>
                </c:pt>
                <c:pt idx="43">
                  <c:v>0.25890559202959085</c:v>
                </c:pt>
                <c:pt idx="44">
                  <c:v>0.20915909016832279</c:v>
                </c:pt>
                <c:pt idx="45">
                  <c:v>0.15937314699899352</c:v>
                </c:pt>
                <c:pt idx="46">
                  <c:v>0.12073638836481612</c:v>
                </c:pt>
                <c:pt idx="47">
                  <c:v>0.14019795739638</c:v>
                </c:pt>
                <c:pt idx="48">
                  <c:v>0.11660581227439268</c:v>
                </c:pt>
                <c:pt idx="49">
                  <c:v>9.0845966089144095E-2</c:v>
                </c:pt>
                <c:pt idx="50">
                  <c:v>9.0765307020063607E-2</c:v>
                </c:pt>
                <c:pt idx="51">
                  <c:v>9.2579955976182501E-2</c:v>
                </c:pt>
                <c:pt idx="52">
                  <c:v>0.12002385661327161</c:v>
                </c:pt>
              </c:numCache>
            </c:numRef>
          </c:val>
          <c:smooth val="0"/>
          <c:extLst>
            <c:ext xmlns:c16="http://schemas.microsoft.com/office/drawing/2014/chart" uri="{C3380CC4-5D6E-409C-BE32-E72D297353CC}">
              <c16:uniqueId val="{00000001-6072-46F6-A46A-575AB7AAE072}"/>
            </c:ext>
          </c:extLst>
        </c:ser>
        <c:dLbls>
          <c:showLegendKey val="0"/>
          <c:showVal val="0"/>
          <c:showCatName val="0"/>
          <c:showSerName val="0"/>
          <c:showPercent val="0"/>
          <c:showBubbleSize val="0"/>
        </c:dLbls>
        <c:smooth val="0"/>
        <c:axId val="2129694480"/>
        <c:axId val="2129691136"/>
      </c:lineChart>
      <c:catAx>
        <c:axId val="212969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9691136"/>
        <c:crosses val="autoZero"/>
        <c:auto val="1"/>
        <c:lblAlgn val="ctr"/>
        <c:lblOffset val="100"/>
        <c:noMultiLvlLbl val="0"/>
      </c:catAx>
      <c:valAx>
        <c:axId val="212969113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9694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Deuda</a:t>
            </a:r>
            <a:r>
              <a:rPr lang="es-PY" baseline="0"/>
              <a:t> interna del Sector Público con el BCP </a:t>
            </a:r>
          </a:p>
          <a:p>
            <a:pPr>
              <a:defRPr/>
            </a:pPr>
            <a:r>
              <a:rPr lang="es-PY" baseline="0"/>
              <a:t>(% del PIB)</a:t>
            </a:r>
            <a:endParaRPr lang="es-PY"/>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Base_Graficos!$A$5:$A$53</c:f>
              <c:numCache>
                <c:formatCode>General</c:formatCode>
                <c:ptCount val="49"/>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numCache>
            </c:numRef>
          </c:cat>
          <c:val>
            <c:numRef>
              <c:f>Base_Graficos!$BZ$5:$BZ$53</c:f>
              <c:numCache>
                <c:formatCode>0.0%</c:formatCode>
                <c:ptCount val="49"/>
                <c:pt idx="0">
                  <c:v>5.6427144600191569E-2</c:v>
                </c:pt>
                <c:pt idx="1">
                  <c:v>6.4531238455666246E-2</c:v>
                </c:pt>
                <c:pt idx="2">
                  <c:v>7.7933637362432626E-2</c:v>
                </c:pt>
                <c:pt idx="3">
                  <c:v>8.6063365712418335E-2</c:v>
                </c:pt>
                <c:pt idx="4">
                  <c:v>8.7152815858907121E-2</c:v>
                </c:pt>
                <c:pt idx="5">
                  <c:v>8.7883999713756725E-2</c:v>
                </c:pt>
                <c:pt idx="6">
                  <c:v>8.0878714297972068E-2</c:v>
                </c:pt>
                <c:pt idx="7">
                  <c:v>8.4412929489062788E-2</c:v>
                </c:pt>
                <c:pt idx="8">
                  <c:v>7.7809170978256834E-2</c:v>
                </c:pt>
                <c:pt idx="9">
                  <c:v>7.4980494565812489E-2</c:v>
                </c:pt>
                <c:pt idx="10">
                  <c:v>8.0368766725937013E-2</c:v>
                </c:pt>
                <c:pt idx="11">
                  <c:v>6.1711247166777707E-2</c:v>
                </c:pt>
                <c:pt idx="12">
                  <c:v>4.0692814822303414E-2</c:v>
                </c:pt>
                <c:pt idx="13">
                  <c:v>3.810657358670063E-2</c:v>
                </c:pt>
                <c:pt idx="14">
                  <c:v>2.9359748722526259E-2</c:v>
                </c:pt>
                <c:pt idx="15">
                  <c:v>2.3103753244407898E-2</c:v>
                </c:pt>
                <c:pt idx="16">
                  <c:v>1.9419772337477537E-2</c:v>
                </c:pt>
                <c:pt idx="17">
                  <c:v>1.8176036792855451E-2</c:v>
                </c:pt>
                <c:pt idx="18">
                  <c:v>2.2302716350248202E-2</c:v>
                </c:pt>
                <c:pt idx="19">
                  <c:v>1.776148110617248E-2</c:v>
                </c:pt>
                <c:pt idx="20">
                  <c:v>1.7571780205946193E-2</c:v>
                </c:pt>
                <c:pt idx="21">
                  <c:v>4.348046978282126E-2</c:v>
                </c:pt>
                <c:pt idx="22">
                  <c:v>4.575445863597364E-2</c:v>
                </c:pt>
                <c:pt idx="23">
                  <c:v>4.6148336962899945E-2</c:v>
                </c:pt>
                <c:pt idx="24">
                  <c:v>4.2125979752213272E-2</c:v>
                </c:pt>
                <c:pt idx="25">
                  <c:v>4.3730072147480502E-2</c:v>
                </c:pt>
                <c:pt idx="26">
                  <c:v>4.1167481546494654E-2</c:v>
                </c:pt>
                <c:pt idx="27">
                  <c:v>2.7974335419173442E-2</c:v>
                </c:pt>
                <c:pt idx="28">
                  <c:v>3.096591565308222E-2</c:v>
                </c:pt>
                <c:pt idx="29">
                  <c:v>2.8739096475175287E-2</c:v>
                </c:pt>
                <c:pt idx="30">
                  <c:v>9.6756620542715721E-2</c:v>
                </c:pt>
                <c:pt idx="31">
                  <c:v>9.3789331413847751E-2</c:v>
                </c:pt>
                <c:pt idx="32">
                  <c:v>8.4776672957300209E-2</c:v>
                </c:pt>
                <c:pt idx="33">
                  <c:v>7.1953990840610521E-2</c:v>
                </c:pt>
                <c:pt idx="34">
                  <c:v>6.7402239849684145E-2</c:v>
                </c:pt>
                <c:pt idx="35">
                  <c:v>7.0820138317736675E-2</c:v>
                </c:pt>
                <c:pt idx="36">
                  <c:v>7.7259487357412768E-2</c:v>
                </c:pt>
                <c:pt idx="37">
                  <c:v>5.5621451658629119E-2</c:v>
                </c:pt>
                <c:pt idx="38">
                  <c:v>5.3999949374832046E-2</c:v>
                </c:pt>
                <c:pt idx="39">
                  <c:v>5.6099282265212283E-2</c:v>
                </c:pt>
                <c:pt idx="40">
                  <c:v>7.1771898431175027E-2</c:v>
                </c:pt>
                <c:pt idx="41">
                  <c:v>6.4289430842002809E-2</c:v>
                </c:pt>
                <c:pt idx="42">
                  <c:v>6.5188798900773823E-2</c:v>
                </c:pt>
                <c:pt idx="43">
                  <c:v>5.7113919836612764E-2</c:v>
                </c:pt>
                <c:pt idx="44">
                  <c:v>4.7786115983558773E-2</c:v>
                </c:pt>
                <c:pt idx="45">
                  <c:v>4.2116627137838265E-2</c:v>
                </c:pt>
                <c:pt idx="46">
                  <c:v>3.7641782230758258E-2</c:v>
                </c:pt>
                <c:pt idx="47">
                  <c:v>3.7931083648390471E-2</c:v>
                </c:pt>
                <c:pt idx="48">
                  <c:v>3.3507399334830705E-2</c:v>
                </c:pt>
              </c:numCache>
            </c:numRef>
          </c:val>
          <c:smooth val="0"/>
          <c:extLst>
            <c:ext xmlns:c16="http://schemas.microsoft.com/office/drawing/2014/chart" uri="{C3380CC4-5D6E-409C-BE32-E72D297353CC}">
              <c16:uniqueId val="{00000000-8A10-4962-BE7D-C75D28B992B4}"/>
            </c:ext>
          </c:extLst>
        </c:ser>
        <c:dLbls>
          <c:showLegendKey val="0"/>
          <c:showVal val="0"/>
          <c:showCatName val="0"/>
          <c:showSerName val="0"/>
          <c:showPercent val="0"/>
          <c:showBubbleSize val="0"/>
        </c:dLbls>
        <c:smooth val="0"/>
        <c:axId val="2131295616"/>
        <c:axId val="2131299008"/>
      </c:lineChart>
      <c:catAx>
        <c:axId val="2131295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1299008"/>
        <c:crosses val="autoZero"/>
        <c:auto val="1"/>
        <c:lblAlgn val="ctr"/>
        <c:lblOffset val="100"/>
        <c:noMultiLvlLbl val="0"/>
      </c:catAx>
      <c:valAx>
        <c:axId val="213129900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12956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8'!$B$3</c:f>
              <c:strCache>
                <c:ptCount val="1"/>
                <c:pt idx="0">
                  <c:v>total</c:v>
                </c:pt>
              </c:strCache>
            </c:strRef>
          </c:tx>
          <c:spPr>
            <a:solidFill>
              <a:schemeClr val="bg1">
                <a:lumMod val="50000"/>
              </a:schemeClr>
            </a:solidFill>
            <a:ln>
              <a:noFill/>
            </a:ln>
            <a:effectLst/>
          </c:spPr>
          <c:invertIfNegative val="0"/>
          <c:cat>
            <c:strRef>
              <c:f>'Figure 8'!$A$4:$A$57</c:f>
              <c:strCache>
                <c:ptCount val="54"/>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strCache>
            </c:strRef>
          </c:cat>
          <c:val>
            <c:numRef>
              <c:f>'Figure 8'!$B$4:$B$57</c:f>
              <c:numCache>
                <c:formatCode>0.000</c:formatCode>
                <c:ptCount val="54"/>
                <c:pt idx="0">
                  <c:v>-0.2018073642398624</c:v>
                </c:pt>
                <c:pt idx="1">
                  <c:v>1.2058520244425732</c:v>
                </c:pt>
                <c:pt idx="2">
                  <c:v>2.7469213148907716</c:v>
                </c:pt>
                <c:pt idx="3">
                  <c:v>2.8534366545325027</c:v>
                </c:pt>
                <c:pt idx="4">
                  <c:v>2.2734566483472696</c:v>
                </c:pt>
                <c:pt idx="5">
                  <c:v>5.8755411507007347</c:v>
                </c:pt>
                <c:pt idx="6">
                  <c:v>4.6250614623741102</c:v>
                </c:pt>
                <c:pt idx="7">
                  <c:v>2.3665407836337886</c:v>
                </c:pt>
                <c:pt idx="8">
                  <c:v>5.2811519462365428</c:v>
                </c:pt>
                <c:pt idx="9">
                  <c:v>2.2667009575272909</c:v>
                </c:pt>
                <c:pt idx="10">
                  <c:v>2.6188868182900849</c:v>
                </c:pt>
                <c:pt idx="11">
                  <c:v>-0.28283800818373273</c:v>
                </c:pt>
                <c:pt idx="12">
                  <c:v>-0.69183480089607818</c:v>
                </c:pt>
                <c:pt idx="13">
                  <c:v>3.3279451790456114</c:v>
                </c:pt>
                <c:pt idx="14">
                  <c:v>7.9209173842786367</c:v>
                </c:pt>
                <c:pt idx="15">
                  <c:v>1.7338480535191683</c:v>
                </c:pt>
                <c:pt idx="16">
                  <c:v>5.9547184536247313</c:v>
                </c:pt>
                <c:pt idx="17">
                  <c:v>-1.0487296443988263</c:v>
                </c:pt>
                <c:pt idx="18">
                  <c:v>2.3399276690750921</c:v>
                </c:pt>
                <c:pt idx="19">
                  <c:v>-0.90632258256374731</c:v>
                </c:pt>
                <c:pt idx="20">
                  <c:v>5.7363660298877157</c:v>
                </c:pt>
                <c:pt idx="21">
                  <c:v>13.477065701456304</c:v>
                </c:pt>
                <c:pt idx="22">
                  <c:v>7.520493499799052</c:v>
                </c:pt>
                <c:pt idx="23">
                  <c:v>2.7783411825149869</c:v>
                </c:pt>
                <c:pt idx="24">
                  <c:v>8.8214239383550108</c:v>
                </c:pt>
                <c:pt idx="25">
                  <c:v>4.3650726803943023</c:v>
                </c:pt>
                <c:pt idx="26">
                  <c:v>-5.4086023888160657</c:v>
                </c:pt>
                <c:pt idx="27">
                  <c:v>0.76189647520618076</c:v>
                </c:pt>
                <c:pt idx="28">
                  <c:v>-9.3562000947730812</c:v>
                </c:pt>
                <c:pt idx="29">
                  <c:v>-0.91428907168812024</c:v>
                </c:pt>
                <c:pt idx="30">
                  <c:v>-4.7469358081965316</c:v>
                </c:pt>
                <c:pt idx="31">
                  <c:v>0.30532710929417234</c:v>
                </c:pt>
                <c:pt idx="32">
                  <c:v>1.4410092163437898</c:v>
                </c:pt>
                <c:pt idx="33">
                  <c:v>2.2954908873345481</c:v>
                </c:pt>
                <c:pt idx="34">
                  <c:v>-0.74213657121039223</c:v>
                </c:pt>
                <c:pt idx="35">
                  <c:v>0.82485436645148258</c:v>
                </c:pt>
                <c:pt idx="36">
                  <c:v>2.5037898432885028</c:v>
                </c:pt>
                <c:pt idx="37">
                  <c:v>6.6877480632147046</c:v>
                </c:pt>
                <c:pt idx="38">
                  <c:v>0.85762977335035528</c:v>
                </c:pt>
                <c:pt idx="39">
                  <c:v>6.0515216004407638E-4</c:v>
                </c:pt>
                <c:pt idx="40">
                  <c:v>1.8582348027188431</c:v>
                </c:pt>
                <c:pt idx="41">
                  <c:v>2.920789577317521</c:v>
                </c:pt>
                <c:pt idx="42">
                  <c:v>-3.7449696163558497</c:v>
                </c:pt>
                <c:pt idx="43">
                  <c:v>-3.6990917059972164</c:v>
                </c:pt>
                <c:pt idx="44">
                  <c:v>-0.32961605636981706</c:v>
                </c:pt>
                <c:pt idx="45">
                  <c:v>-0.22370185378308272</c:v>
                </c:pt>
                <c:pt idx="46">
                  <c:v>0.67704187164115692</c:v>
                </c:pt>
                <c:pt idx="47">
                  <c:v>3.1817506375597118</c:v>
                </c:pt>
                <c:pt idx="48">
                  <c:v>-1.3953588570318223</c:v>
                </c:pt>
                <c:pt idx="49">
                  <c:v>-0.18965813159505118</c:v>
                </c:pt>
                <c:pt idx="50">
                  <c:v>1.5426972317139507</c:v>
                </c:pt>
                <c:pt idx="51">
                  <c:v>0.32434442702779021</c:v>
                </c:pt>
                <c:pt idx="52">
                  <c:v>4.4327531632027632</c:v>
                </c:pt>
                <c:pt idx="53">
                  <c:v>2.0298856516077666</c:v>
                </c:pt>
              </c:numCache>
            </c:numRef>
          </c:val>
          <c:extLst>
            <c:ext xmlns:c16="http://schemas.microsoft.com/office/drawing/2014/chart" uri="{C3380CC4-5D6E-409C-BE32-E72D297353CC}">
              <c16:uniqueId val="{00000000-3DCD-4273-8C97-4F3036307C89}"/>
            </c:ext>
          </c:extLst>
        </c:ser>
        <c:dLbls>
          <c:showLegendKey val="0"/>
          <c:showVal val="0"/>
          <c:showCatName val="0"/>
          <c:showSerName val="0"/>
          <c:showPercent val="0"/>
          <c:showBubbleSize val="0"/>
        </c:dLbls>
        <c:gapWidth val="10"/>
        <c:overlap val="100"/>
        <c:axId val="565482592"/>
        <c:axId val="565483248"/>
      </c:barChart>
      <c:lineChart>
        <c:grouping val="standard"/>
        <c:varyColors val="0"/>
        <c:ser>
          <c:idx val="1"/>
          <c:order val="1"/>
          <c:tx>
            <c:strRef>
              <c:f>'Figure 8'!$C$3</c:f>
              <c:strCache>
                <c:ptCount val="1"/>
                <c:pt idx="0">
                  <c:v>monetary base</c:v>
                </c:pt>
              </c:strCache>
            </c:strRef>
          </c:tx>
          <c:spPr>
            <a:ln w="28575" cap="rnd">
              <a:solidFill>
                <a:schemeClr val="tx1"/>
              </a:solidFill>
              <a:round/>
            </a:ln>
            <a:effectLst/>
          </c:spPr>
          <c:marker>
            <c:symbol val="none"/>
          </c:marker>
          <c:cat>
            <c:strRef>
              <c:f>'Figure 8'!$A$4:$A$57</c:f>
              <c:strCache>
                <c:ptCount val="54"/>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strCache>
            </c:strRef>
          </c:cat>
          <c:val>
            <c:numRef>
              <c:f>'Figure 8'!$C$4:$C$57</c:f>
              <c:numCache>
                <c:formatCode>0.000</c:formatCode>
                <c:ptCount val="54"/>
                <c:pt idx="0">
                  <c:v>-0.41620856553350322</c:v>
                </c:pt>
                <c:pt idx="1">
                  <c:v>1.0408721237318772</c:v>
                </c:pt>
                <c:pt idx="2">
                  <c:v>1.2258669631175181</c:v>
                </c:pt>
                <c:pt idx="3">
                  <c:v>0.56339370638831543</c:v>
                </c:pt>
                <c:pt idx="4">
                  <c:v>-0.15464032586697263</c:v>
                </c:pt>
                <c:pt idx="5">
                  <c:v>0.31272115559478342</c:v>
                </c:pt>
                <c:pt idx="6">
                  <c:v>0.60283559832402389</c:v>
                </c:pt>
                <c:pt idx="7">
                  <c:v>-0.38711649803380571</c:v>
                </c:pt>
                <c:pt idx="8">
                  <c:v>1.4818975768688347</c:v>
                </c:pt>
                <c:pt idx="9">
                  <c:v>3.9535807323587413E-2</c:v>
                </c:pt>
                <c:pt idx="10">
                  <c:v>1.2211151225587316</c:v>
                </c:pt>
                <c:pt idx="11">
                  <c:v>-0.11559127513697531</c:v>
                </c:pt>
                <c:pt idx="12">
                  <c:v>-1.5830341406847221</c:v>
                </c:pt>
                <c:pt idx="13">
                  <c:v>0.92330296668436396</c:v>
                </c:pt>
                <c:pt idx="14">
                  <c:v>0.62422654587475368</c:v>
                </c:pt>
                <c:pt idx="15">
                  <c:v>0.81595063159942971</c:v>
                </c:pt>
                <c:pt idx="16">
                  <c:v>1.1762029541630692</c:v>
                </c:pt>
                <c:pt idx="17">
                  <c:v>-2.1492693229125335</c:v>
                </c:pt>
                <c:pt idx="18">
                  <c:v>6.8539725022387366E-2</c:v>
                </c:pt>
                <c:pt idx="19">
                  <c:v>-0.91012260023319991</c:v>
                </c:pt>
                <c:pt idx="20">
                  <c:v>-0.79667982739301535</c:v>
                </c:pt>
                <c:pt idx="21">
                  <c:v>1.5484181013626406</c:v>
                </c:pt>
                <c:pt idx="22">
                  <c:v>-0.61264056544320233</c:v>
                </c:pt>
                <c:pt idx="23">
                  <c:v>-1.1420453533956807</c:v>
                </c:pt>
                <c:pt idx="24">
                  <c:v>0.32290533242065184</c:v>
                </c:pt>
                <c:pt idx="25">
                  <c:v>6.633658452361163E-2</c:v>
                </c:pt>
                <c:pt idx="26">
                  <c:v>-1.0351083663226208</c:v>
                </c:pt>
                <c:pt idx="27">
                  <c:v>-1.0542688488984848</c:v>
                </c:pt>
                <c:pt idx="28">
                  <c:v>-1.4656627569595126</c:v>
                </c:pt>
                <c:pt idx="29">
                  <c:v>-0.38289264244923821</c:v>
                </c:pt>
                <c:pt idx="30">
                  <c:v>0.97094365876384259</c:v>
                </c:pt>
                <c:pt idx="31">
                  <c:v>-7.0052493455909082E-2</c:v>
                </c:pt>
                <c:pt idx="32">
                  <c:v>0.6233067811927645</c:v>
                </c:pt>
                <c:pt idx="33">
                  <c:v>0.32749872924294626</c:v>
                </c:pt>
                <c:pt idx="34">
                  <c:v>-0.81917300061040699</c:v>
                </c:pt>
                <c:pt idx="35">
                  <c:v>-2.0910061035459004E-2</c:v>
                </c:pt>
                <c:pt idx="36">
                  <c:v>-0.36352694890445653</c:v>
                </c:pt>
                <c:pt idx="37">
                  <c:v>9.2753640442344576E-2</c:v>
                </c:pt>
                <c:pt idx="38">
                  <c:v>-0.79596053561067914</c:v>
                </c:pt>
                <c:pt idx="39">
                  <c:v>-0.29344608592270921</c:v>
                </c:pt>
                <c:pt idx="40">
                  <c:v>-1.0143324751888303</c:v>
                </c:pt>
                <c:pt idx="41">
                  <c:v>2.1132760714238619</c:v>
                </c:pt>
                <c:pt idx="42">
                  <c:v>0.28018435536893288</c:v>
                </c:pt>
                <c:pt idx="43">
                  <c:v>-0.60099850460981341</c:v>
                </c:pt>
                <c:pt idx="44">
                  <c:v>0.12487325891835099</c:v>
                </c:pt>
                <c:pt idx="45">
                  <c:v>1.3453397111602414</c:v>
                </c:pt>
                <c:pt idx="46">
                  <c:v>0.10601917844805797</c:v>
                </c:pt>
                <c:pt idx="47">
                  <c:v>3.4075699503982775</c:v>
                </c:pt>
                <c:pt idx="48">
                  <c:v>-2.0203431365306987</c:v>
                </c:pt>
                <c:pt idx="49">
                  <c:v>0.20337195200733765</c:v>
                </c:pt>
                <c:pt idx="50">
                  <c:v>1.4635595095278773</c:v>
                </c:pt>
                <c:pt idx="51">
                  <c:v>-1.9702199769829205</c:v>
                </c:pt>
                <c:pt idx="52">
                  <c:v>6.9259040088752444E-2</c:v>
                </c:pt>
                <c:pt idx="53">
                  <c:v>-1.9896929717680423E-2</c:v>
                </c:pt>
              </c:numCache>
            </c:numRef>
          </c:val>
          <c:smooth val="0"/>
          <c:extLst>
            <c:ext xmlns:c16="http://schemas.microsoft.com/office/drawing/2014/chart" uri="{C3380CC4-5D6E-409C-BE32-E72D297353CC}">
              <c16:uniqueId val="{00000001-3DCD-4273-8C97-4F3036307C89}"/>
            </c:ext>
          </c:extLst>
        </c:ser>
        <c:ser>
          <c:idx val="2"/>
          <c:order val="2"/>
          <c:tx>
            <c:strRef>
              <c:f>'Figure 8'!$D$3</c:f>
              <c:strCache>
                <c:ptCount val="1"/>
                <c:pt idx="0">
                  <c:v>external debt</c:v>
                </c:pt>
              </c:strCache>
            </c:strRef>
          </c:tx>
          <c:spPr>
            <a:ln w="28575" cap="rnd">
              <a:solidFill>
                <a:schemeClr val="tx1"/>
              </a:solidFill>
              <a:prstDash val="sysDash"/>
              <a:round/>
            </a:ln>
            <a:effectLst/>
          </c:spPr>
          <c:marker>
            <c:symbol val="none"/>
          </c:marker>
          <c:cat>
            <c:strRef>
              <c:f>'Figure 8'!$A$4:$A$57</c:f>
              <c:strCache>
                <c:ptCount val="54"/>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strCache>
            </c:strRef>
          </c:cat>
          <c:val>
            <c:numRef>
              <c:f>'Figure 8'!$D$4:$D$57</c:f>
              <c:numCache>
                <c:formatCode>0.000</c:formatCode>
                <c:ptCount val="54"/>
                <c:pt idx="0">
                  <c:v>-0.17265843020745753</c:v>
                </c:pt>
                <c:pt idx="1">
                  <c:v>-0.26412535955323657</c:v>
                </c:pt>
                <c:pt idx="2">
                  <c:v>0.80962257302164309</c:v>
                </c:pt>
                <c:pt idx="3">
                  <c:v>1.4051061806163379</c:v>
                </c:pt>
                <c:pt idx="4">
                  <c:v>2.1045803996068724</c:v>
                </c:pt>
                <c:pt idx="5">
                  <c:v>4.6861174502233238</c:v>
                </c:pt>
                <c:pt idx="6">
                  <c:v>3.3272085846035888</c:v>
                </c:pt>
                <c:pt idx="7">
                  <c:v>2.2977785322287203</c:v>
                </c:pt>
                <c:pt idx="8">
                  <c:v>3.0352053546416577</c:v>
                </c:pt>
                <c:pt idx="9">
                  <c:v>0.93998816031430377</c:v>
                </c:pt>
                <c:pt idx="10">
                  <c:v>-0.31031928046989049</c:v>
                </c:pt>
                <c:pt idx="11">
                  <c:v>-2.5761713873431651</c:v>
                </c:pt>
                <c:pt idx="12">
                  <c:v>-2.2782966378222129</c:v>
                </c:pt>
                <c:pt idx="13">
                  <c:v>0.81716756276005253</c:v>
                </c:pt>
                <c:pt idx="14">
                  <c:v>6.0578810398579384</c:v>
                </c:pt>
                <c:pt idx="15">
                  <c:v>-1.4182319114315378</c:v>
                </c:pt>
                <c:pt idx="16">
                  <c:v>1.5228174044988416</c:v>
                </c:pt>
                <c:pt idx="17">
                  <c:v>-4.0082669969513036</c:v>
                </c:pt>
                <c:pt idx="18">
                  <c:v>-0.57147868380660827</c:v>
                </c:pt>
                <c:pt idx="19">
                  <c:v>-1.9656011078079989</c:v>
                </c:pt>
                <c:pt idx="20">
                  <c:v>5.7125618680690371</c:v>
                </c:pt>
                <c:pt idx="21">
                  <c:v>10.853616343278622</c:v>
                </c:pt>
                <c:pt idx="22">
                  <c:v>4.9407682552534826</c:v>
                </c:pt>
                <c:pt idx="23">
                  <c:v>1.2224871727259687</c:v>
                </c:pt>
                <c:pt idx="24">
                  <c:v>5.947057596196311</c:v>
                </c:pt>
                <c:pt idx="25">
                  <c:v>0.95347970233038026</c:v>
                </c:pt>
                <c:pt idx="26">
                  <c:v>-6.5634514431748929</c:v>
                </c:pt>
                <c:pt idx="27">
                  <c:v>-0.99863445887190294</c:v>
                </c:pt>
                <c:pt idx="28">
                  <c:v>-10.983237849501723</c:v>
                </c:pt>
                <c:pt idx="29">
                  <c:v>-1.5924107968293795</c:v>
                </c:pt>
                <c:pt idx="30">
                  <c:v>-6.9461878659942595</c:v>
                </c:pt>
                <c:pt idx="31">
                  <c:v>-1.3763623460019228</c:v>
                </c:pt>
                <c:pt idx="32">
                  <c:v>-0.82504889222593425</c:v>
                </c:pt>
                <c:pt idx="33">
                  <c:v>0.59749550704232923</c:v>
                </c:pt>
                <c:pt idx="34">
                  <c:v>-0.75734334959832217</c:v>
                </c:pt>
                <c:pt idx="35">
                  <c:v>2.7606559905471201E-2</c:v>
                </c:pt>
                <c:pt idx="36">
                  <c:v>1.7841784936082443</c:v>
                </c:pt>
                <c:pt idx="37">
                  <c:v>6.2870148703513751</c:v>
                </c:pt>
                <c:pt idx="38">
                  <c:v>1.1817289710687002</c:v>
                </c:pt>
                <c:pt idx="39">
                  <c:v>-0.21919613646428851</c:v>
                </c:pt>
                <c:pt idx="40">
                  <c:v>1.9694237821427609</c:v>
                </c:pt>
                <c:pt idx="41">
                  <c:v>6.0460901287227475E-2</c:v>
                </c:pt>
                <c:pt idx="42">
                  <c:v>-4.559181812452759</c:v>
                </c:pt>
                <c:pt idx="43">
                  <c:v>-4.0180024048508063</c:v>
                </c:pt>
                <c:pt idx="44">
                  <c:v>-1.6468868539083827</c:v>
                </c:pt>
                <c:pt idx="45">
                  <c:v>-2.4059529194517308</c:v>
                </c:pt>
                <c:pt idx="46">
                  <c:v>-0.59863466906173268</c:v>
                </c:pt>
                <c:pt idx="47">
                  <c:v>-1.5660562680784453E-2</c:v>
                </c:pt>
                <c:pt idx="48">
                  <c:v>-1.6258867576742382</c:v>
                </c:pt>
                <c:pt idx="49">
                  <c:v>-1.3316612489383015</c:v>
                </c:pt>
                <c:pt idx="50">
                  <c:v>-0.20956761847762731</c:v>
                </c:pt>
                <c:pt idx="51">
                  <c:v>0.34443754216550498</c:v>
                </c:pt>
                <c:pt idx="52">
                  <c:v>3.4830587822603398</c:v>
                </c:pt>
                <c:pt idx="53">
                  <c:v>1.4355268087399755</c:v>
                </c:pt>
              </c:numCache>
            </c:numRef>
          </c:val>
          <c:smooth val="0"/>
          <c:extLst>
            <c:ext xmlns:c16="http://schemas.microsoft.com/office/drawing/2014/chart" uri="{C3380CC4-5D6E-409C-BE32-E72D297353CC}">
              <c16:uniqueId val="{00000002-3DCD-4273-8C97-4F3036307C89}"/>
            </c:ext>
          </c:extLst>
        </c:ser>
        <c:ser>
          <c:idx val="3"/>
          <c:order val="3"/>
          <c:tx>
            <c:strRef>
              <c:f>'Figure 8'!$E$3</c:f>
              <c:strCache>
                <c:ptCount val="1"/>
                <c:pt idx="0">
                  <c:v>seigniorage</c:v>
                </c:pt>
              </c:strCache>
            </c:strRef>
          </c:tx>
          <c:spPr>
            <a:ln w="28575" cap="rnd">
              <a:solidFill>
                <a:schemeClr val="tx1"/>
              </a:solidFill>
              <a:prstDash val="sysDot"/>
              <a:round/>
            </a:ln>
            <a:effectLst/>
          </c:spPr>
          <c:marker>
            <c:symbol val="none"/>
          </c:marker>
          <c:cat>
            <c:strRef>
              <c:f>'Figure 8'!$A$4:$A$57</c:f>
              <c:strCache>
                <c:ptCount val="54"/>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strCache>
            </c:strRef>
          </c:cat>
          <c:val>
            <c:numRef>
              <c:f>'Figure 8'!$E$4:$E$57</c:f>
              <c:numCache>
                <c:formatCode>0.000</c:formatCode>
                <c:ptCount val="54"/>
                <c:pt idx="0">
                  <c:v>0.38705963150109834</c:v>
                </c:pt>
                <c:pt idx="1">
                  <c:v>0.42910526026393275</c:v>
                </c:pt>
                <c:pt idx="2">
                  <c:v>0.71143177875161034</c:v>
                </c:pt>
                <c:pt idx="3">
                  <c:v>0.88493676752784944</c:v>
                </c:pt>
                <c:pt idx="4">
                  <c:v>0.32351657460736977</c:v>
                </c:pt>
                <c:pt idx="5">
                  <c:v>0.87670254488262711</c:v>
                </c:pt>
                <c:pt idx="6">
                  <c:v>0.69501727944649749</c:v>
                </c:pt>
                <c:pt idx="7">
                  <c:v>0.4558787494388738</c:v>
                </c:pt>
                <c:pt idx="8">
                  <c:v>0.76404901472605047</c:v>
                </c:pt>
                <c:pt idx="9">
                  <c:v>1.2871769898893997</c:v>
                </c:pt>
                <c:pt idx="10">
                  <c:v>1.7080909762012437</c:v>
                </c:pt>
                <c:pt idx="11">
                  <c:v>2.408924654296408</c:v>
                </c:pt>
                <c:pt idx="12">
                  <c:v>3.1694959776108567</c:v>
                </c:pt>
                <c:pt idx="13">
                  <c:v>1.5874746496011949</c:v>
                </c:pt>
                <c:pt idx="14">
                  <c:v>1.2388097985459452</c:v>
                </c:pt>
                <c:pt idx="15">
                  <c:v>2.3361293333512765</c:v>
                </c:pt>
                <c:pt idx="16">
                  <c:v>3.25569809496282</c:v>
                </c:pt>
                <c:pt idx="17">
                  <c:v>5.1088066754650105</c:v>
                </c:pt>
                <c:pt idx="18">
                  <c:v>2.8428666278593129</c:v>
                </c:pt>
                <c:pt idx="19">
                  <c:v>1.9694011254774515</c:v>
                </c:pt>
                <c:pt idx="20">
                  <c:v>0.82048398921169308</c:v>
                </c:pt>
                <c:pt idx="21">
                  <c:v>1.07503125681504</c:v>
                </c:pt>
                <c:pt idx="22">
                  <c:v>3.1923658099887731</c:v>
                </c:pt>
                <c:pt idx="23">
                  <c:v>2.6978993631846988</c:v>
                </c:pt>
                <c:pt idx="24">
                  <c:v>2.5514610097380492</c:v>
                </c:pt>
                <c:pt idx="25">
                  <c:v>3.3452563935403106</c:v>
                </c:pt>
                <c:pt idx="26">
                  <c:v>2.1899574206814481</c:v>
                </c:pt>
                <c:pt idx="27">
                  <c:v>2.8147997829765683</c:v>
                </c:pt>
                <c:pt idx="28">
                  <c:v>3.0927005116881534</c:v>
                </c:pt>
                <c:pt idx="29">
                  <c:v>1.0610143675904975</c:v>
                </c:pt>
                <c:pt idx="30">
                  <c:v>1.2283083990338857</c:v>
                </c:pt>
                <c:pt idx="31">
                  <c:v>1.7517419487520041</c:v>
                </c:pt>
                <c:pt idx="32">
                  <c:v>1.6427513273769594</c:v>
                </c:pt>
                <c:pt idx="33">
                  <c:v>1.3704966510492729</c:v>
                </c:pt>
                <c:pt idx="34">
                  <c:v>0.83437977899833682</c:v>
                </c:pt>
                <c:pt idx="35">
                  <c:v>0.81815786758147024</c:v>
                </c:pt>
                <c:pt idx="36">
                  <c:v>1.0831382985847151</c:v>
                </c:pt>
                <c:pt idx="37">
                  <c:v>0.30797955242098513</c:v>
                </c:pt>
                <c:pt idx="38">
                  <c:v>0.47186133789233425</c:v>
                </c:pt>
                <c:pt idx="39">
                  <c:v>0.51324737454704172</c:v>
                </c:pt>
                <c:pt idx="40">
                  <c:v>0.90314349576491226</c:v>
                </c:pt>
                <c:pt idx="41">
                  <c:v>0.74705260460643141</c:v>
                </c:pt>
                <c:pt idx="42">
                  <c:v>0.53402784072797649</c:v>
                </c:pt>
                <c:pt idx="43">
                  <c:v>0.91990920346340344</c:v>
                </c:pt>
                <c:pt idx="44">
                  <c:v>1.1923975386202146</c:v>
                </c:pt>
                <c:pt idx="45">
                  <c:v>0.8369113545084067</c:v>
                </c:pt>
                <c:pt idx="46">
                  <c:v>1.1696573622548316</c:v>
                </c:pt>
                <c:pt idx="47">
                  <c:v>-0.21015875015778082</c:v>
                </c:pt>
                <c:pt idx="48">
                  <c:v>2.2508710371731149</c:v>
                </c:pt>
                <c:pt idx="49">
                  <c:v>0.93863116533591273</c:v>
                </c:pt>
                <c:pt idx="50">
                  <c:v>0.28870534066370074</c:v>
                </c:pt>
                <c:pt idx="51">
                  <c:v>1.9501268618452055</c:v>
                </c:pt>
                <c:pt idx="52">
                  <c:v>0.88043534085367092</c:v>
                </c:pt>
                <c:pt idx="53">
                  <c:v>0.61425577258547115</c:v>
                </c:pt>
              </c:numCache>
            </c:numRef>
          </c:val>
          <c:smooth val="0"/>
          <c:extLst>
            <c:ext xmlns:c16="http://schemas.microsoft.com/office/drawing/2014/chart" uri="{C3380CC4-5D6E-409C-BE32-E72D297353CC}">
              <c16:uniqueId val="{00000003-3DCD-4273-8C97-4F3036307C89}"/>
            </c:ext>
          </c:extLst>
        </c:ser>
        <c:dLbls>
          <c:showLegendKey val="0"/>
          <c:showVal val="0"/>
          <c:showCatName val="0"/>
          <c:showSerName val="0"/>
          <c:showPercent val="0"/>
          <c:showBubbleSize val="0"/>
        </c:dLbls>
        <c:marker val="1"/>
        <c:smooth val="0"/>
        <c:axId val="565482592"/>
        <c:axId val="565483248"/>
      </c:lineChart>
      <c:catAx>
        <c:axId val="56548259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65483248"/>
        <c:crossesAt val="-15"/>
        <c:auto val="1"/>
        <c:lblAlgn val="ctr"/>
        <c:lblOffset val="100"/>
        <c:tickLblSkip val="8"/>
        <c:tickMarkSkip val="8"/>
        <c:noMultiLvlLbl val="0"/>
      </c:catAx>
      <c:valAx>
        <c:axId val="565483248"/>
        <c:scaling>
          <c:orientation val="minMax"/>
        </c:scaling>
        <c:delete val="0"/>
        <c:axPos val="l"/>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65482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 l="0" r="0" t="0" header="0" footer="0"/>
    <c:pageSetup paperSize="449" orientation="landscape" blackAndWhite="1"/>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PIB per cápita</a:t>
            </a:r>
          </a:p>
          <a:p>
            <a:pPr>
              <a:defRPr/>
            </a:pPr>
            <a:r>
              <a:rPr lang="es-PY"/>
              <a:t>(Indice</a:t>
            </a:r>
            <a:r>
              <a:rPr lang="es-PY" baseline="0"/>
              <a:t> 1962=100)</a:t>
            </a:r>
            <a:endParaRPr lang="es-PY"/>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Base_Graficos!$A$5:$A$57</c:f>
              <c:numCache>
                <c:formatCode>General</c:formatCode>
                <c:ptCount val="53"/>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numCache>
            </c:numRef>
          </c:cat>
          <c:val>
            <c:numRef>
              <c:f>Base_Graficos!$I$5:$I$57</c:f>
              <c:numCache>
                <c:formatCode>0</c:formatCode>
                <c:ptCount val="53"/>
                <c:pt idx="0">
                  <c:v>100</c:v>
                </c:pt>
                <c:pt idx="1">
                  <c:v>101.95963741801077</c:v>
                </c:pt>
                <c:pt idx="2">
                  <c:v>103.4637321340935</c:v>
                </c:pt>
                <c:pt idx="3">
                  <c:v>106.96575211457677</c:v>
                </c:pt>
                <c:pt idx="4">
                  <c:v>106.22625395328258</c:v>
                </c:pt>
                <c:pt idx="5">
                  <c:v>112.88660298588273</c:v>
                </c:pt>
                <c:pt idx="6">
                  <c:v>114.90202625417001</c:v>
                </c:pt>
                <c:pt idx="7">
                  <c:v>117.19381338734527</c:v>
                </c:pt>
                <c:pt idx="8">
                  <c:v>120.5756017959321</c:v>
                </c:pt>
                <c:pt idx="9">
                  <c:v>124.15318005031789</c:v>
                </c:pt>
                <c:pt idx="10">
                  <c:v>129.25760940353086</c:v>
                </c:pt>
                <c:pt idx="11">
                  <c:v>135.44328405844854</c:v>
                </c:pt>
                <c:pt idx="12">
                  <c:v>143.30266361079052</c:v>
                </c:pt>
                <c:pt idx="13">
                  <c:v>149.35768278001322</c:v>
                </c:pt>
                <c:pt idx="14">
                  <c:v>156.567188833122</c:v>
                </c:pt>
                <c:pt idx="15">
                  <c:v>170.15574980968594</c:v>
                </c:pt>
                <c:pt idx="16">
                  <c:v>185.73130968472242</c:v>
                </c:pt>
                <c:pt idx="17">
                  <c:v>202.29541503662998</c:v>
                </c:pt>
                <c:pt idx="18">
                  <c:v>219.84627731161436</c:v>
                </c:pt>
                <c:pt idx="19">
                  <c:v>233.21931004586099</c:v>
                </c:pt>
                <c:pt idx="20">
                  <c:v>223.26886596311678</c:v>
                </c:pt>
                <c:pt idx="21">
                  <c:v>210.12125045878403</c:v>
                </c:pt>
                <c:pt idx="22">
                  <c:v>209.74942250417342</c:v>
                </c:pt>
                <c:pt idx="23">
                  <c:v>213.00238596641466</c:v>
                </c:pt>
                <c:pt idx="24">
                  <c:v>217.33140105503327</c:v>
                </c:pt>
                <c:pt idx="25">
                  <c:v>227.32571527488022</c:v>
                </c:pt>
                <c:pt idx="26">
                  <c:v>234.19563474200024</c:v>
                </c:pt>
                <c:pt idx="27">
                  <c:v>243.74812841320824</c:v>
                </c:pt>
                <c:pt idx="28">
                  <c:v>247.21616116047213</c:v>
                </c:pt>
                <c:pt idx="29">
                  <c:v>249.39646316350391</c:v>
                </c:pt>
                <c:pt idx="30">
                  <c:v>247.36358484020076</c:v>
                </c:pt>
                <c:pt idx="31">
                  <c:v>253.31013426985626</c:v>
                </c:pt>
                <c:pt idx="32">
                  <c:v>260.49914510776722</c:v>
                </c:pt>
                <c:pt idx="33">
                  <c:v>271.88854761520906</c:v>
                </c:pt>
                <c:pt idx="34">
                  <c:v>269.99906286441893</c:v>
                </c:pt>
                <c:pt idx="35">
                  <c:v>275.32135064053875</c:v>
                </c:pt>
                <c:pt idx="36">
                  <c:v>269.63832184191625</c:v>
                </c:pt>
                <c:pt idx="37">
                  <c:v>260.39980926320544</c:v>
                </c:pt>
                <c:pt idx="38">
                  <c:v>249.1531590598637</c:v>
                </c:pt>
                <c:pt idx="39">
                  <c:v>242.08727162485849</c:v>
                </c:pt>
                <c:pt idx="40">
                  <c:v>237.23402983718734</c:v>
                </c:pt>
                <c:pt idx="41">
                  <c:v>242.66333007416208</c:v>
                </c:pt>
                <c:pt idx="42">
                  <c:v>247.68246819039908</c:v>
                </c:pt>
                <c:pt idx="43">
                  <c:v>248.22517925192443</c:v>
                </c:pt>
                <c:pt idx="44">
                  <c:v>255.37406862225188</c:v>
                </c:pt>
                <c:pt idx="45">
                  <c:v>264.35831563261456</c:v>
                </c:pt>
                <c:pt idx="46">
                  <c:v>276.18222795416199</c:v>
                </c:pt>
                <c:pt idx="47">
                  <c:v>260.60764279880726</c:v>
                </c:pt>
                <c:pt idx="48">
                  <c:v>289.68140427832913</c:v>
                </c:pt>
                <c:pt idx="49">
                  <c:v>297.16301036870493</c:v>
                </c:pt>
                <c:pt idx="50">
                  <c:v>288.60592000146255</c:v>
                </c:pt>
                <c:pt idx="51">
                  <c:v>323.74241847640297</c:v>
                </c:pt>
                <c:pt idx="52">
                  <c:v>333.60348875465536</c:v>
                </c:pt>
              </c:numCache>
            </c:numRef>
          </c:val>
          <c:smooth val="0"/>
          <c:extLst>
            <c:ext xmlns:c16="http://schemas.microsoft.com/office/drawing/2014/chart" uri="{C3380CC4-5D6E-409C-BE32-E72D297353CC}">
              <c16:uniqueId val="{00000000-4D54-4B25-B2FF-0BB54A37F265}"/>
            </c:ext>
          </c:extLst>
        </c:ser>
        <c:dLbls>
          <c:showLegendKey val="0"/>
          <c:showVal val="0"/>
          <c:showCatName val="0"/>
          <c:showSerName val="0"/>
          <c:showPercent val="0"/>
          <c:showBubbleSize val="0"/>
        </c:dLbls>
        <c:smooth val="0"/>
        <c:axId val="2131330928"/>
        <c:axId val="2131334320"/>
      </c:lineChart>
      <c:catAx>
        <c:axId val="2131330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1334320"/>
        <c:crosses val="autoZero"/>
        <c:auto val="1"/>
        <c:lblAlgn val="ctr"/>
        <c:lblOffset val="100"/>
        <c:noMultiLvlLbl val="0"/>
      </c:catAx>
      <c:valAx>
        <c:axId val="2131334320"/>
        <c:scaling>
          <c:orientation val="minMax"/>
        </c:scaling>
        <c:delete val="0"/>
        <c:axPos val="l"/>
        <c:numFmt formatCode="0"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13309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Crecimiento del PIB per cápita</a:t>
            </a:r>
          </a:p>
          <a:p>
            <a:pPr>
              <a:defRPr/>
            </a:pPr>
            <a:r>
              <a:rPr lang="es-PY"/>
              <a:t>Variación anual</a:t>
            </a:r>
          </a:p>
        </c:rich>
      </c:tx>
      <c:layout>
        <c:manualLayout>
          <c:xMode val="edge"/>
          <c:yMode val="edge"/>
          <c:x val="0.428445030754395"/>
          <c:y val="1.97158638704982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Base_Graficos!$A$5:$A$57</c:f>
              <c:numCache>
                <c:formatCode>General</c:formatCode>
                <c:ptCount val="53"/>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numCache>
            </c:numRef>
          </c:cat>
          <c:val>
            <c:numRef>
              <c:f>Base_Graficos!$J$5:$J$57</c:f>
              <c:numCache>
                <c:formatCode>0.00%</c:formatCode>
                <c:ptCount val="53"/>
                <c:pt idx="0">
                  <c:v>5.9190407059441785E-3</c:v>
                </c:pt>
                <c:pt idx="1">
                  <c:v>1.9596374180107734E-2</c:v>
                </c:pt>
                <c:pt idx="2">
                  <c:v>1.4751864111837598E-2</c:v>
                </c:pt>
                <c:pt idx="3">
                  <c:v>3.3847802589843656E-2</c:v>
                </c:pt>
                <c:pt idx="4">
                  <c:v>-6.9134105699745207E-3</c:v>
                </c:pt>
                <c:pt idx="5">
                  <c:v>6.2699650837064524E-2</c:v>
                </c:pt>
                <c:pt idx="6">
                  <c:v>1.7853520391071909E-2</c:v>
                </c:pt>
                <c:pt idx="7">
                  <c:v>1.994557631303806E-2</c:v>
                </c:pt>
                <c:pt idx="8">
                  <c:v>2.8856373138140379E-2</c:v>
                </c:pt>
                <c:pt idx="9">
                  <c:v>2.9670830591753017E-2</c:v>
                </c:pt>
                <c:pt idx="10">
                  <c:v>4.1113963823916633E-2</c:v>
                </c:pt>
                <c:pt idx="11">
                  <c:v>4.785540041674885E-2</c:v>
                </c:pt>
                <c:pt idx="12">
                  <c:v>5.8027089397436615E-2</c:v>
                </c:pt>
                <c:pt idx="13">
                  <c:v>4.2253360940087692E-2</c:v>
                </c:pt>
                <c:pt idx="14">
                  <c:v>4.8270071675707182E-2</c:v>
                </c:pt>
                <c:pt idx="15">
                  <c:v>8.6790604582211772E-2</c:v>
                </c:pt>
                <c:pt idx="16">
                  <c:v>9.1537076428256148E-2</c:v>
                </c:pt>
                <c:pt idx="17">
                  <c:v>8.9183161309878134E-2</c:v>
                </c:pt>
                <c:pt idx="18">
                  <c:v>8.6758576667723464E-2</c:v>
                </c:pt>
                <c:pt idx="19">
                  <c:v>6.0829016064217756E-2</c:v>
                </c:pt>
                <c:pt idx="20">
                  <c:v>-4.266560981072931E-2</c:v>
                </c:pt>
                <c:pt idx="21">
                  <c:v>-5.8886918458683435E-2</c:v>
                </c:pt>
                <c:pt idx="22">
                  <c:v>-1.7695875776427838E-3</c:v>
                </c:pt>
                <c:pt idx="23">
                  <c:v>1.5508807716390738E-2</c:v>
                </c:pt>
                <c:pt idx="24">
                  <c:v>2.0323786839182123E-2</c:v>
                </c:pt>
                <c:pt idx="25">
                  <c:v>4.5986517232805113E-2</c:v>
                </c:pt>
                <c:pt idx="26">
                  <c:v>3.0220599806814352E-2</c:v>
                </c:pt>
                <c:pt idx="27">
                  <c:v>4.0788521450160431E-2</c:v>
                </c:pt>
                <c:pt idx="28">
                  <c:v>1.4227935901870215E-2</c:v>
                </c:pt>
                <c:pt idx="29">
                  <c:v>8.8194153359435479E-3</c:v>
                </c:pt>
                <c:pt idx="30">
                  <c:v>-8.1511914704676114E-3</c:v>
                </c:pt>
                <c:pt idx="31">
                  <c:v>2.4039712367109445E-2</c:v>
                </c:pt>
                <c:pt idx="32">
                  <c:v>2.8380273290812719E-2</c:v>
                </c:pt>
                <c:pt idx="33">
                  <c:v>4.3721458290122417E-2</c:v>
                </c:pt>
                <c:pt idx="34">
                  <c:v>-6.9494826735557735E-3</c:v>
                </c:pt>
                <c:pt idx="35">
                  <c:v>1.9712245367282888E-2</c:v>
                </c:pt>
                <c:pt idx="36">
                  <c:v>-2.064143876020097E-2</c:v>
                </c:pt>
                <c:pt idx="37">
                  <c:v>-3.426260968990591E-2</c:v>
                </c:pt>
                <c:pt idx="38">
                  <c:v>-4.3189932570088518E-2</c:v>
                </c:pt>
                <c:pt idx="39">
                  <c:v>-2.8359614068981021E-2</c:v>
                </c:pt>
                <c:pt idx="40">
                  <c:v>-2.0047488474288055E-2</c:v>
                </c:pt>
                <c:pt idx="41">
                  <c:v>2.2885840790635603E-2</c:v>
                </c:pt>
                <c:pt idx="42">
                  <c:v>2.0683545860444186E-2</c:v>
                </c:pt>
                <c:pt idx="43">
                  <c:v>2.1911565460828175E-3</c:v>
                </c:pt>
                <c:pt idx="44">
                  <c:v>2.8800016951833873E-2</c:v>
                </c:pt>
                <c:pt idx="45">
                  <c:v>3.5180733340831605E-2</c:v>
                </c:pt>
                <c:pt idx="46">
                  <c:v>4.4726840891131436E-2</c:v>
                </c:pt>
                <c:pt idx="47">
                  <c:v>-5.6392423476066988E-2</c:v>
                </c:pt>
                <c:pt idx="48">
                  <c:v>0.11156143069053126</c:v>
                </c:pt>
                <c:pt idx="49">
                  <c:v>2.5827015403403042E-2</c:v>
                </c:pt>
                <c:pt idx="50">
                  <c:v>-2.8795947236586295E-2</c:v>
                </c:pt>
                <c:pt idx="51">
                  <c:v>0.12174559161767151</c:v>
                </c:pt>
                <c:pt idx="52">
                  <c:v>3.0459617632624614E-2</c:v>
                </c:pt>
              </c:numCache>
            </c:numRef>
          </c:val>
          <c:smooth val="0"/>
          <c:extLst>
            <c:ext xmlns:c16="http://schemas.microsoft.com/office/drawing/2014/chart" uri="{C3380CC4-5D6E-409C-BE32-E72D297353CC}">
              <c16:uniqueId val="{00000000-C77A-46E1-B2B9-6C08ACCEFD81}"/>
            </c:ext>
          </c:extLst>
        </c:ser>
        <c:ser>
          <c:idx val="1"/>
          <c:order val="1"/>
          <c:spPr>
            <a:ln w="28575" cap="rnd">
              <a:solidFill>
                <a:srgbClr val="FFC000"/>
              </a:solidFill>
              <a:round/>
            </a:ln>
            <a:effectLst/>
          </c:spPr>
          <c:marker>
            <c:symbol val="none"/>
          </c:marker>
          <c:dLbls>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7A-46E1-B2B9-6C08ACCEFD8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Base_Graficos!$A$5:$A$57</c:f>
              <c:numCache>
                <c:formatCode>General</c:formatCode>
                <c:ptCount val="53"/>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numCache>
            </c:numRef>
          </c:cat>
          <c:val>
            <c:numRef>
              <c:f>Base_Graficos!$K$5:$K$57</c:f>
              <c:numCache>
                <c:formatCode>0.0%</c:formatCode>
                <c:ptCount val="53"/>
                <c:pt idx="0">
                  <c:v>2.6266415544124334E-2</c:v>
                </c:pt>
                <c:pt idx="1">
                  <c:v>2.6266415544124334E-2</c:v>
                </c:pt>
                <c:pt idx="2">
                  <c:v>2.6266415544124334E-2</c:v>
                </c:pt>
                <c:pt idx="3">
                  <c:v>2.6266415544124334E-2</c:v>
                </c:pt>
                <c:pt idx="4">
                  <c:v>2.6266415544124334E-2</c:v>
                </c:pt>
                <c:pt idx="5">
                  <c:v>2.6266415544124334E-2</c:v>
                </c:pt>
                <c:pt idx="6">
                  <c:v>2.6266415544124334E-2</c:v>
                </c:pt>
                <c:pt idx="7">
                  <c:v>2.6266415544124334E-2</c:v>
                </c:pt>
                <c:pt idx="8">
                  <c:v>2.6266415544124334E-2</c:v>
                </c:pt>
                <c:pt idx="9">
                  <c:v>2.6266415544124334E-2</c:v>
                </c:pt>
                <c:pt idx="10">
                  <c:v>2.6266415544124334E-2</c:v>
                </c:pt>
                <c:pt idx="11">
                  <c:v>2.6266415544124334E-2</c:v>
                </c:pt>
              </c:numCache>
            </c:numRef>
          </c:val>
          <c:smooth val="0"/>
          <c:extLst>
            <c:ext xmlns:c16="http://schemas.microsoft.com/office/drawing/2014/chart" uri="{C3380CC4-5D6E-409C-BE32-E72D297353CC}">
              <c16:uniqueId val="{00000002-C77A-46E1-B2B9-6C08ACCEFD81}"/>
            </c:ext>
          </c:extLst>
        </c:ser>
        <c:ser>
          <c:idx val="2"/>
          <c:order val="2"/>
          <c:spPr>
            <a:ln w="28575" cap="rnd">
              <a:solidFill>
                <a:srgbClr val="FFC000"/>
              </a:solidFill>
              <a:round/>
            </a:ln>
            <a:effectLst/>
          </c:spPr>
          <c:marker>
            <c:symbol val="none"/>
          </c:marker>
          <c:dLbls>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77A-46E1-B2B9-6C08ACCEFD8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Base_Graficos!$A$5:$A$57</c:f>
              <c:numCache>
                <c:formatCode>General</c:formatCode>
                <c:ptCount val="53"/>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numCache>
            </c:numRef>
          </c:cat>
          <c:val>
            <c:numRef>
              <c:f>Base_Graficos!$L$5:$L$57</c:f>
              <c:numCache>
                <c:formatCode>0%</c:formatCode>
                <c:ptCount val="53"/>
                <c:pt idx="12" formatCode="0.0%">
                  <c:v>3.8322192141488499E-2</c:v>
                </c:pt>
                <c:pt idx="13" formatCode="0.0%">
                  <c:v>3.8322192141488499E-2</c:v>
                </c:pt>
                <c:pt idx="14" formatCode="0.0%">
                  <c:v>3.8322192141488499E-2</c:v>
                </c:pt>
                <c:pt idx="15" formatCode="0.0%">
                  <c:v>3.8322192141488499E-2</c:v>
                </c:pt>
                <c:pt idx="16" formatCode="0.0%">
                  <c:v>3.8322192141488499E-2</c:v>
                </c:pt>
                <c:pt idx="17" formatCode="0.0%">
                  <c:v>3.8322192141488499E-2</c:v>
                </c:pt>
                <c:pt idx="18" formatCode="0.0%">
                  <c:v>3.8322192141488499E-2</c:v>
                </c:pt>
                <c:pt idx="19" formatCode="0.0%">
                  <c:v>3.8322192141488499E-2</c:v>
                </c:pt>
                <c:pt idx="20" formatCode="0.0%">
                  <c:v>3.8322192141488499E-2</c:v>
                </c:pt>
                <c:pt idx="21" formatCode="0.0%">
                  <c:v>3.8322192141488499E-2</c:v>
                </c:pt>
                <c:pt idx="22" formatCode="0.0%">
                  <c:v>3.8322192141488499E-2</c:v>
                </c:pt>
                <c:pt idx="23" formatCode="0.0%">
                  <c:v>3.8322192141488499E-2</c:v>
                </c:pt>
                <c:pt idx="24" formatCode="0.0%">
                  <c:v>3.8322192141488499E-2</c:v>
                </c:pt>
                <c:pt idx="25" formatCode="0.0%">
                  <c:v>3.8322192141488499E-2</c:v>
                </c:pt>
                <c:pt idx="26" formatCode="0.0%">
                  <c:v>3.8322192141488499E-2</c:v>
                </c:pt>
                <c:pt idx="27" formatCode="0.0%">
                  <c:v>3.8322192141488499E-2</c:v>
                </c:pt>
              </c:numCache>
            </c:numRef>
          </c:val>
          <c:smooth val="0"/>
          <c:extLst>
            <c:ext xmlns:c16="http://schemas.microsoft.com/office/drawing/2014/chart" uri="{C3380CC4-5D6E-409C-BE32-E72D297353CC}">
              <c16:uniqueId val="{00000004-C77A-46E1-B2B9-6C08ACCEFD81}"/>
            </c:ext>
          </c:extLst>
        </c:ser>
        <c:ser>
          <c:idx val="3"/>
          <c:order val="3"/>
          <c:spPr>
            <a:ln w="28575" cap="rnd">
              <a:solidFill>
                <a:srgbClr val="FFC000"/>
              </a:solidFill>
              <a:round/>
            </a:ln>
            <a:effectLst/>
          </c:spPr>
          <c:marker>
            <c:symbol val="none"/>
          </c:marker>
          <c:dLbls>
            <c:dLbl>
              <c:idx val="41"/>
              <c:layout>
                <c:manualLayout>
                  <c:x val="-8.4893878056795796E-3"/>
                  <c:y val="-1.3143909246998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77A-46E1-B2B9-6C08ACCEFD8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Base_Graficos!$A$5:$A$57</c:f>
              <c:numCache>
                <c:formatCode>General</c:formatCode>
                <c:ptCount val="53"/>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numCache>
            </c:numRef>
          </c:cat>
          <c:val>
            <c:numRef>
              <c:f>Base_Graficos!$M$5:$M$57</c:f>
              <c:numCache>
                <c:formatCode>0%</c:formatCode>
                <c:ptCount val="53"/>
                <c:pt idx="28" formatCode="0.0%">
                  <c:v>1.3223116877783944E-5</c:v>
                </c:pt>
                <c:pt idx="29" formatCode="0.0%">
                  <c:v>1.3223116877783944E-5</c:v>
                </c:pt>
                <c:pt idx="30" formatCode="0.0%">
                  <c:v>1.3223116877783944E-5</c:v>
                </c:pt>
                <c:pt idx="31" formatCode="0.0%">
                  <c:v>1.3223116877783944E-5</c:v>
                </c:pt>
                <c:pt idx="32" formatCode="0.0%">
                  <c:v>1.3223116877783944E-5</c:v>
                </c:pt>
                <c:pt idx="33" formatCode="0.0%">
                  <c:v>1.3223116877783944E-5</c:v>
                </c:pt>
                <c:pt idx="34" formatCode="0.0%">
                  <c:v>1.3223116877783944E-5</c:v>
                </c:pt>
                <c:pt idx="35" formatCode="0.0%">
                  <c:v>1.3223116877783944E-5</c:v>
                </c:pt>
                <c:pt idx="36" formatCode="0.0%">
                  <c:v>1.3223116877783944E-5</c:v>
                </c:pt>
                <c:pt idx="37" formatCode="0.0%">
                  <c:v>1.3223116877783944E-5</c:v>
                </c:pt>
                <c:pt idx="38" formatCode="0.0%">
                  <c:v>1.3223116877783944E-5</c:v>
                </c:pt>
                <c:pt idx="39" formatCode="0.0%">
                  <c:v>1.3223116877783944E-5</c:v>
                </c:pt>
                <c:pt idx="40" formatCode="0.0%">
                  <c:v>1.3223116877783944E-5</c:v>
                </c:pt>
                <c:pt idx="41" formatCode="0.0%">
                  <c:v>1.3223116877783944E-5</c:v>
                </c:pt>
              </c:numCache>
            </c:numRef>
          </c:val>
          <c:smooth val="0"/>
          <c:extLst>
            <c:ext xmlns:c16="http://schemas.microsoft.com/office/drawing/2014/chart" uri="{C3380CC4-5D6E-409C-BE32-E72D297353CC}">
              <c16:uniqueId val="{00000006-C77A-46E1-B2B9-6C08ACCEFD81}"/>
            </c:ext>
          </c:extLst>
        </c:ser>
        <c:ser>
          <c:idx val="4"/>
          <c:order val="4"/>
          <c:spPr>
            <a:ln w="28575" cap="rnd">
              <a:solidFill>
                <a:srgbClr val="FFC000"/>
              </a:solidFill>
              <a:round/>
            </a:ln>
            <a:effectLst/>
          </c:spPr>
          <c:marker>
            <c:symbol val="none"/>
          </c:marker>
          <c:dLbls>
            <c:dLbl>
              <c:idx val="52"/>
              <c:layout>
                <c:manualLayout>
                  <c:x val="-5.3058673785497399E-3"/>
                  <c:y val="3.61457504292470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77A-46E1-B2B9-6C08ACCEFD8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Base_Graficos!$A$5:$A$57</c:f>
              <c:numCache>
                <c:formatCode>General</c:formatCode>
                <c:ptCount val="53"/>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numCache>
            </c:numRef>
          </c:cat>
          <c:val>
            <c:numRef>
              <c:f>Base_Graficos!$N$5:$N$57</c:f>
              <c:numCache>
                <c:formatCode>0%</c:formatCode>
                <c:ptCount val="53"/>
                <c:pt idx="42" formatCode="0.0%">
                  <c:v>3.0552796058927644E-2</c:v>
                </c:pt>
                <c:pt idx="43" formatCode="0.0%">
                  <c:v>3.0552796058927644E-2</c:v>
                </c:pt>
                <c:pt idx="44" formatCode="0.0%">
                  <c:v>3.0552796058927644E-2</c:v>
                </c:pt>
                <c:pt idx="45" formatCode="0.0%">
                  <c:v>3.0552796058927644E-2</c:v>
                </c:pt>
                <c:pt idx="46" formatCode="0.0%">
                  <c:v>3.0552796058927644E-2</c:v>
                </c:pt>
                <c:pt idx="47" formatCode="0.0%">
                  <c:v>3.0552796058927644E-2</c:v>
                </c:pt>
                <c:pt idx="48" formatCode="0.0%">
                  <c:v>3.0552796058927644E-2</c:v>
                </c:pt>
                <c:pt idx="49" formatCode="0.0%">
                  <c:v>3.0552796058927644E-2</c:v>
                </c:pt>
                <c:pt idx="50" formatCode="0.0%">
                  <c:v>3.0552796058927644E-2</c:v>
                </c:pt>
                <c:pt idx="51" formatCode="0.0%">
                  <c:v>3.0552796058927644E-2</c:v>
                </c:pt>
                <c:pt idx="52" formatCode="0.0%">
                  <c:v>3.0552796058927644E-2</c:v>
                </c:pt>
              </c:numCache>
            </c:numRef>
          </c:val>
          <c:smooth val="0"/>
          <c:extLst>
            <c:ext xmlns:c16="http://schemas.microsoft.com/office/drawing/2014/chart" uri="{C3380CC4-5D6E-409C-BE32-E72D297353CC}">
              <c16:uniqueId val="{00000008-C77A-46E1-B2B9-6C08ACCEFD81}"/>
            </c:ext>
          </c:extLst>
        </c:ser>
        <c:dLbls>
          <c:showLegendKey val="0"/>
          <c:showVal val="0"/>
          <c:showCatName val="0"/>
          <c:showSerName val="0"/>
          <c:showPercent val="0"/>
          <c:showBubbleSize val="0"/>
        </c:dLbls>
        <c:smooth val="0"/>
        <c:axId val="2131365696"/>
        <c:axId val="2131369056"/>
      </c:lineChart>
      <c:catAx>
        <c:axId val="2131365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1369056"/>
        <c:crosses val="autoZero"/>
        <c:auto val="1"/>
        <c:lblAlgn val="ctr"/>
        <c:lblOffset val="100"/>
        <c:noMultiLvlLbl val="0"/>
      </c:catAx>
      <c:valAx>
        <c:axId val="2131369056"/>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13656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897335107993003E-2"/>
          <c:y val="5.1400554097404502E-2"/>
          <c:w val="0.83721345258382995"/>
          <c:h val="0.77933227912488801"/>
        </c:manualLayout>
      </c:layout>
      <c:lineChart>
        <c:grouping val="standard"/>
        <c:varyColors val="0"/>
        <c:ser>
          <c:idx val="1"/>
          <c:order val="0"/>
          <c:tx>
            <c:strRef>
              <c:f>'Budget Constraint'!$I$2</c:f>
              <c:strCache>
                <c:ptCount val="1"/>
                <c:pt idx="0">
                  <c:v>Inflation (Right Axis)</c:v>
                </c:pt>
              </c:strCache>
            </c:strRef>
          </c:tx>
          <c:spPr>
            <a:ln>
              <a:solidFill>
                <a:schemeClr val="accent6">
                  <a:lumMod val="75000"/>
                </a:schemeClr>
              </a:solidFill>
            </a:ln>
          </c:spPr>
          <c:marker>
            <c:symbol val="none"/>
          </c:marker>
          <c:cat>
            <c:numRef>
              <c:f>'Budget Constraint'!$A$16:$A$31</c:f>
              <c:numCache>
                <c:formatCode>General</c:formatCode>
                <c:ptCount val="1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numCache>
            </c:numRef>
          </c:cat>
          <c:val>
            <c:numRef>
              <c:f>'Budget Constraint'!$I$16:$I$31</c:f>
              <c:numCache>
                <c:formatCode>0%</c:formatCode>
                <c:ptCount val="16"/>
                <c:pt idx="0">
                  <c:v>0.2197070572569908</c:v>
                </c:pt>
                <c:pt idx="1">
                  <c:v>8.6790393013100431E-2</c:v>
                </c:pt>
                <c:pt idx="2">
                  <c:v>3.3651431441486634E-2</c:v>
                </c:pt>
                <c:pt idx="3">
                  <c:v>9.3780369290573207E-2</c:v>
                </c:pt>
                <c:pt idx="4">
                  <c:v>0.16836961350510871</c:v>
                </c:pt>
                <c:pt idx="5">
                  <c:v>0.35703422053231959</c:v>
                </c:pt>
                <c:pt idx="6">
                  <c:v>0.15017255226305104</c:v>
                </c:pt>
                <c:pt idx="7">
                  <c:v>8.1180811808118092E-2</c:v>
                </c:pt>
                <c:pt idx="8">
                  <c:v>8.8737201365187701E-2</c:v>
                </c:pt>
                <c:pt idx="9">
                  <c:v>0.14106583072100309</c:v>
                </c:pt>
                <c:pt idx="10">
                  <c:v>0.29807692307692291</c:v>
                </c:pt>
                <c:pt idx="11">
                  <c:v>0.23068783068783083</c:v>
                </c:pt>
                <c:pt idx="12">
                  <c:v>0.24118658641444535</c:v>
                </c:pt>
                <c:pt idx="13">
                  <c:v>0.32040180117769324</c:v>
                </c:pt>
                <c:pt idx="14">
                  <c:v>0.16946484784889826</c:v>
                </c:pt>
                <c:pt idx="15">
                  <c:v>0.28532974427994606</c:v>
                </c:pt>
              </c:numCache>
            </c:numRef>
          </c:val>
          <c:smooth val="0"/>
          <c:extLst>
            <c:ext xmlns:c16="http://schemas.microsoft.com/office/drawing/2014/chart" uri="{C3380CC4-5D6E-409C-BE32-E72D297353CC}">
              <c16:uniqueId val="{00000000-180C-4895-A620-44E5C9760EF6}"/>
            </c:ext>
          </c:extLst>
        </c:ser>
        <c:ser>
          <c:idx val="0"/>
          <c:order val="1"/>
          <c:tx>
            <c:v>Promedio</c:v>
          </c:tx>
          <c:marker>
            <c:symbol val="none"/>
          </c:marker>
          <c:dLbls>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0C-4895-A620-44E5C9760EF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val>
            <c:numRef>
              <c:f>#REF!</c:f>
              <c:numCache>
                <c:formatCode>General</c:formatCode>
                <c:ptCount val="1"/>
                <c:pt idx="0">
                  <c:v>1</c:v>
                </c:pt>
              </c:numCache>
            </c:numRef>
          </c:val>
          <c:smooth val="0"/>
          <c:extLst>
            <c:ext xmlns:c16="http://schemas.microsoft.com/office/drawing/2014/chart" uri="{C3380CC4-5D6E-409C-BE32-E72D297353CC}">
              <c16:uniqueId val="{00000002-180C-4895-A620-44E5C9760EF6}"/>
            </c:ext>
          </c:extLst>
        </c:ser>
        <c:dLbls>
          <c:showLegendKey val="0"/>
          <c:showVal val="0"/>
          <c:showCatName val="0"/>
          <c:showSerName val="0"/>
          <c:showPercent val="0"/>
          <c:showBubbleSize val="0"/>
        </c:dLbls>
        <c:smooth val="0"/>
        <c:axId val="2129668624"/>
        <c:axId val="2129669712"/>
      </c:lineChart>
      <c:catAx>
        <c:axId val="2129668624"/>
        <c:scaling>
          <c:orientation val="minMax"/>
        </c:scaling>
        <c:delete val="0"/>
        <c:axPos val="b"/>
        <c:numFmt formatCode="General" sourceLinked="1"/>
        <c:majorTickMark val="none"/>
        <c:minorTickMark val="cross"/>
        <c:tickLblPos val="nextTo"/>
        <c:txPr>
          <a:bodyPr rot="-5400000" vert="horz"/>
          <a:lstStyle/>
          <a:p>
            <a:pPr>
              <a:defRPr/>
            </a:pPr>
            <a:endParaRPr lang="en-US"/>
          </a:p>
        </c:txPr>
        <c:crossAx val="2129669712"/>
        <c:crosses val="autoZero"/>
        <c:auto val="1"/>
        <c:lblAlgn val="ctr"/>
        <c:lblOffset val="100"/>
        <c:noMultiLvlLbl val="0"/>
      </c:catAx>
      <c:valAx>
        <c:axId val="2129669712"/>
        <c:scaling>
          <c:orientation val="minMax"/>
        </c:scaling>
        <c:delete val="0"/>
        <c:axPos val="l"/>
        <c:majorGridlines>
          <c:spPr>
            <a:ln>
              <a:solidFill>
                <a:schemeClr val="bg1"/>
              </a:solidFill>
            </a:ln>
          </c:spPr>
        </c:majorGridlines>
        <c:numFmt formatCode="0%" sourceLinked="1"/>
        <c:majorTickMark val="out"/>
        <c:minorTickMark val="none"/>
        <c:tickLblPos val="nextTo"/>
        <c:crossAx val="2129668624"/>
        <c:crosses val="autoZero"/>
        <c:crossBetween val="between"/>
      </c:valAx>
    </c:plotArea>
    <c:plotVisOnly val="1"/>
    <c:dispBlanksAs val="gap"/>
    <c:showDLblsOverMax val="0"/>
  </c:chart>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897335107993003E-2"/>
          <c:y val="5.1400554097404502E-2"/>
          <c:w val="0.83721345258382995"/>
          <c:h val="0.89719889180519097"/>
        </c:manualLayout>
      </c:layout>
      <c:lineChart>
        <c:grouping val="standard"/>
        <c:varyColors val="0"/>
        <c:ser>
          <c:idx val="1"/>
          <c:order val="0"/>
          <c:tx>
            <c:strRef>
              <c:f>'Budget Constraint'!$I$2</c:f>
              <c:strCache>
                <c:ptCount val="1"/>
                <c:pt idx="0">
                  <c:v>Inflation (Right Axis)</c:v>
                </c:pt>
              </c:strCache>
            </c:strRef>
          </c:tx>
          <c:spPr>
            <a:ln>
              <a:solidFill>
                <a:schemeClr val="accent6">
                  <a:lumMod val="75000"/>
                </a:schemeClr>
              </a:solidFill>
            </a:ln>
          </c:spPr>
          <c:marker>
            <c:symbol val="none"/>
          </c:marker>
          <c:cat>
            <c:numRef>
              <c:f>'Budget Constraint'!$A$4:$A$15</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'Budget Constraint'!$I$4:$I$15</c:f>
              <c:numCache>
                <c:formatCode>0%</c:formatCode>
                <c:ptCount val="12"/>
                <c:pt idx="0">
                  <c:v>1.9999999999999796E-2</c:v>
                </c:pt>
                <c:pt idx="1">
                  <c:v>1.5686274509804088E-2</c:v>
                </c:pt>
                <c:pt idx="2">
                  <c:v>5.044222772771989E-2</c:v>
                </c:pt>
                <c:pt idx="3">
                  <c:v>3.9215686274509665E-2</c:v>
                </c:pt>
                <c:pt idx="4">
                  <c:v>1.3207547169811429E-2</c:v>
                </c:pt>
                <c:pt idx="5">
                  <c:v>5.5865921787707773E-3</c:v>
                </c:pt>
                <c:pt idx="6">
                  <c:v>2.6851851851851904E-2</c:v>
                </c:pt>
                <c:pt idx="7">
                  <c:v>-2.7051397655546428E-3</c:v>
                </c:pt>
                <c:pt idx="8">
                  <c:v>2.2603978300180794E-2</c:v>
                </c:pt>
                <c:pt idx="9">
                  <c:v>6.2776304155614637E-2</c:v>
                </c:pt>
                <c:pt idx="10">
                  <c:v>9.4841930116472462E-2</c:v>
                </c:pt>
                <c:pt idx="11">
                  <c:v>0.14133738601823698</c:v>
                </c:pt>
              </c:numCache>
            </c:numRef>
          </c:val>
          <c:smooth val="0"/>
          <c:extLst>
            <c:ext xmlns:c16="http://schemas.microsoft.com/office/drawing/2014/chart" uri="{C3380CC4-5D6E-409C-BE32-E72D297353CC}">
              <c16:uniqueId val="{00000000-4A27-4AFE-A12B-52693125DB87}"/>
            </c:ext>
          </c:extLst>
        </c:ser>
        <c:ser>
          <c:idx val="0"/>
          <c:order val="1"/>
          <c:tx>
            <c:v>Promedio</c:v>
          </c:tx>
          <c:marker>
            <c:symbol val="none"/>
          </c:marker>
          <c:dLbls>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27-4AFE-A12B-52693125DB8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val>
            <c:numRef>
              <c:f>#REF!</c:f>
              <c:numCache>
                <c:formatCode>General</c:formatCode>
                <c:ptCount val="1"/>
                <c:pt idx="0">
                  <c:v>1</c:v>
                </c:pt>
              </c:numCache>
            </c:numRef>
          </c:val>
          <c:smooth val="0"/>
          <c:extLst>
            <c:ext xmlns:c16="http://schemas.microsoft.com/office/drawing/2014/chart" uri="{C3380CC4-5D6E-409C-BE32-E72D297353CC}">
              <c16:uniqueId val="{00000002-4A27-4AFE-A12B-52693125DB87}"/>
            </c:ext>
          </c:extLst>
        </c:ser>
        <c:dLbls>
          <c:showLegendKey val="0"/>
          <c:showVal val="0"/>
          <c:showCatName val="0"/>
          <c:showSerName val="0"/>
          <c:showPercent val="0"/>
          <c:showBubbleSize val="0"/>
        </c:dLbls>
        <c:smooth val="0"/>
        <c:axId val="2132223072"/>
        <c:axId val="2132225904"/>
      </c:lineChart>
      <c:catAx>
        <c:axId val="2132223072"/>
        <c:scaling>
          <c:orientation val="minMax"/>
        </c:scaling>
        <c:delete val="0"/>
        <c:axPos val="b"/>
        <c:numFmt formatCode="General" sourceLinked="1"/>
        <c:majorTickMark val="out"/>
        <c:minorTickMark val="none"/>
        <c:tickLblPos val="nextTo"/>
        <c:crossAx val="2132225904"/>
        <c:crosses val="autoZero"/>
        <c:auto val="1"/>
        <c:lblAlgn val="ctr"/>
        <c:lblOffset val="100"/>
        <c:noMultiLvlLbl val="0"/>
      </c:catAx>
      <c:valAx>
        <c:axId val="2132225904"/>
        <c:scaling>
          <c:orientation val="minMax"/>
        </c:scaling>
        <c:delete val="0"/>
        <c:axPos val="l"/>
        <c:majorGridlines>
          <c:spPr>
            <a:ln>
              <a:solidFill>
                <a:schemeClr val="bg1"/>
              </a:solidFill>
            </a:ln>
          </c:spPr>
        </c:majorGridlines>
        <c:numFmt formatCode="0%" sourceLinked="1"/>
        <c:majorTickMark val="out"/>
        <c:minorTickMark val="none"/>
        <c:tickLblPos val="nextTo"/>
        <c:crossAx val="2132223072"/>
        <c:crosses val="autoZero"/>
        <c:crossBetween val="between"/>
      </c:valAx>
    </c:plotArea>
    <c:plotVisOnly val="1"/>
    <c:dispBlanksAs val="gap"/>
    <c:showDLblsOverMax val="0"/>
  </c:chart>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897335107993003E-2"/>
          <c:y val="5.1400554097404502E-2"/>
          <c:w val="0.83721345258382995"/>
          <c:h val="0.74471389533481902"/>
        </c:manualLayout>
      </c:layout>
      <c:lineChart>
        <c:grouping val="standard"/>
        <c:varyColors val="0"/>
        <c:ser>
          <c:idx val="1"/>
          <c:order val="0"/>
          <c:tx>
            <c:strRef>
              <c:f>'Budget Constraint'!$I$2</c:f>
              <c:strCache>
                <c:ptCount val="1"/>
                <c:pt idx="0">
                  <c:v>Inflation (Right Axis)</c:v>
                </c:pt>
              </c:strCache>
            </c:strRef>
          </c:tx>
          <c:spPr>
            <a:ln>
              <a:solidFill>
                <a:schemeClr val="accent6">
                  <a:lumMod val="75000"/>
                </a:schemeClr>
              </a:solidFill>
            </a:ln>
          </c:spPr>
          <c:marker>
            <c:symbol val="none"/>
          </c:marker>
          <c:cat>
            <c:numRef>
              <c:f>'Budget Constraint'!$A$32:$A$45</c:f>
              <c:numCache>
                <c:formatCode>General</c:formatCode>
                <c:ptCount val="1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numCache>
            </c:numRef>
          </c:cat>
          <c:val>
            <c:numRef>
              <c:f>'Budget Constraint'!$I$32:$I$45</c:f>
              <c:numCache>
                <c:formatCode>0%</c:formatCode>
                <c:ptCount val="14"/>
                <c:pt idx="0">
                  <c:v>0.44066317626527063</c:v>
                </c:pt>
                <c:pt idx="1">
                  <c:v>0.11811023622047245</c:v>
                </c:pt>
                <c:pt idx="2">
                  <c:v>0.17811484290357549</c:v>
                </c:pt>
                <c:pt idx="3">
                  <c:v>0.20406474158543286</c:v>
                </c:pt>
                <c:pt idx="4">
                  <c:v>0.18276941877339037</c:v>
                </c:pt>
                <c:pt idx="5">
                  <c:v>0.10533159947984405</c:v>
                </c:pt>
                <c:pt idx="6">
                  <c:v>8.1764705882352962E-2</c:v>
                </c:pt>
                <c:pt idx="7">
                  <c:v>6.1990212071778128E-2</c:v>
                </c:pt>
                <c:pt idx="8">
                  <c:v>0.14644137224782372</c:v>
                </c:pt>
                <c:pt idx="9">
                  <c:v>5.4041983028137563E-2</c:v>
                </c:pt>
                <c:pt idx="10">
                  <c:v>8.6440677966101553E-2</c:v>
                </c:pt>
                <c:pt idx="11">
                  <c:v>8.3853354134165503E-2</c:v>
                </c:pt>
                <c:pt idx="12">
                  <c:v>0.14645555955379663</c:v>
                </c:pt>
                <c:pt idx="13">
                  <c:v>9.3220338983050821E-2</c:v>
                </c:pt>
              </c:numCache>
            </c:numRef>
          </c:val>
          <c:smooth val="0"/>
          <c:extLst>
            <c:ext xmlns:c16="http://schemas.microsoft.com/office/drawing/2014/chart" uri="{C3380CC4-5D6E-409C-BE32-E72D297353CC}">
              <c16:uniqueId val="{00000000-F461-44ED-8FF2-660F935A1932}"/>
            </c:ext>
          </c:extLst>
        </c:ser>
        <c:ser>
          <c:idx val="0"/>
          <c:order val="1"/>
          <c:tx>
            <c:v>Promedio</c:v>
          </c:tx>
          <c:marker>
            <c:symbol val="none"/>
          </c:marker>
          <c:dLbls>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61-44ED-8FF2-660F935A193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val>
            <c:numRef>
              <c:f>#REF!</c:f>
              <c:numCache>
                <c:formatCode>General</c:formatCode>
                <c:ptCount val="1"/>
                <c:pt idx="0">
                  <c:v>1</c:v>
                </c:pt>
              </c:numCache>
            </c:numRef>
          </c:val>
          <c:smooth val="0"/>
          <c:extLst>
            <c:ext xmlns:c16="http://schemas.microsoft.com/office/drawing/2014/chart" uri="{C3380CC4-5D6E-409C-BE32-E72D297353CC}">
              <c16:uniqueId val="{00000002-F461-44ED-8FF2-660F935A1932}"/>
            </c:ext>
          </c:extLst>
        </c:ser>
        <c:dLbls>
          <c:showLegendKey val="0"/>
          <c:showVal val="0"/>
          <c:showCatName val="0"/>
          <c:showSerName val="0"/>
          <c:showPercent val="0"/>
          <c:showBubbleSize val="0"/>
        </c:dLbls>
        <c:smooth val="0"/>
        <c:axId val="2132262928"/>
        <c:axId val="2132265840"/>
      </c:lineChart>
      <c:catAx>
        <c:axId val="2132262928"/>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132265840"/>
        <c:crosses val="autoZero"/>
        <c:auto val="1"/>
        <c:lblAlgn val="ctr"/>
        <c:lblOffset val="100"/>
        <c:noMultiLvlLbl val="0"/>
      </c:catAx>
      <c:valAx>
        <c:axId val="2132265840"/>
        <c:scaling>
          <c:orientation val="minMax"/>
        </c:scaling>
        <c:delete val="0"/>
        <c:axPos val="l"/>
        <c:majorGridlines>
          <c:spPr>
            <a:ln>
              <a:solidFill>
                <a:schemeClr val="bg1"/>
              </a:solidFill>
            </a:ln>
          </c:spPr>
        </c:majorGridlines>
        <c:numFmt formatCode="0%" sourceLinked="1"/>
        <c:majorTickMark val="out"/>
        <c:minorTickMark val="none"/>
        <c:tickLblPos val="nextTo"/>
        <c:crossAx val="2132262928"/>
        <c:crosses val="autoZero"/>
        <c:crossBetween val="between"/>
      </c:valAx>
    </c:plotArea>
    <c:plotVisOnly val="1"/>
    <c:dispBlanksAs val="gap"/>
    <c:showDLblsOverMax val="0"/>
  </c:chart>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61050271344299E-2"/>
          <c:y val="2.92282251328937E-2"/>
          <c:w val="0.83721345258382995"/>
          <c:h val="0.79077209610243804"/>
        </c:manualLayout>
      </c:layout>
      <c:lineChart>
        <c:grouping val="standard"/>
        <c:varyColors val="0"/>
        <c:ser>
          <c:idx val="1"/>
          <c:order val="0"/>
          <c:tx>
            <c:strRef>
              <c:f>'Budget Constraint'!$I$2</c:f>
              <c:strCache>
                <c:ptCount val="1"/>
                <c:pt idx="0">
                  <c:v>Inflation (Right Axis)</c:v>
                </c:pt>
              </c:strCache>
            </c:strRef>
          </c:tx>
          <c:spPr>
            <a:ln>
              <a:solidFill>
                <a:schemeClr val="accent6">
                  <a:lumMod val="75000"/>
                </a:schemeClr>
              </a:solidFill>
            </a:ln>
          </c:spPr>
          <c:marker>
            <c:symbol val="none"/>
          </c:marker>
          <c:cat>
            <c:numRef>
              <c:f>'Budget Constraint'!$A$46:$A$58</c:f>
              <c:numCache>
                <c:formatCode>General</c:formatCod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numCache>
            </c:numRef>
          </c:cat>
          <c:val>
            <c:numRef>
              <c:f>'Budget Constraint'!$I$46:$I$56</c:f>
              <c:numCache>
                <c:formatCode>0%</c:formatCode>
                <c:ptCount val="11"/>
                <c:pt idx="0">
                  <c:v>2.8136663795578443E-2</c:v>
                </c:pt>
                <c:pt idx="1">
                  <c:v>9.8575816810946515E-2</c:v>
                </c:pt>
                <c:pt idx="2">
                  <c:v>0.12480935434672102</c:v>
                </c:pt>
                <c:pt idx="3">
                  <c:v>5.966101694915249E-2</c:v>
                </c:pt>
                <c:pt idx="4">
                  <c:v>7.4999999999999956E-2</c:v>
                </c:pt>
                <c:pt idx="5">
                  <c:v>1.8604651162790642E-2</c:v>
                </c:pt>
                <c:pt idx="6">
                  <c:v>7.214611872146115E-2</c:v>
                </c:pt>
                <c:pt idx="7">
                  <c:v>4.9403747870528036E-2</c:v>
                </c:pt>
                <c:pt idx="8">
                  <c:v>3.9772727272727293E-2</c:v>
                </c:pt>
                <c:pt idx="9">
                  <c:v>3.7470725995316201E-2</c:v>
                </c:pt>
                <c:pt idx="10">
                  <c:v>4.2136945071482357E-2</c:v>
                </c:pt>
              </c:numCache>
            </c:numRef>
          </c:val>
          <c:smooth val="0"/>
          <c:extLst>
            <c:ext xmlns:c16="http://schemas.microsoft.com/office/drawing/2014/chart" uri="{C3380CC4-5D6E-409C-BE32-E72D297353CC}">
              <c16:uniqueId val="{00000000-521A-4544-8CA1-A78FF2E56E51}"/>
            </c:ext>
          </c:extLst>
        </c:ser>
        <c:ser>
          <c:idx val="0"/>
          <c:order val="1"/>
          <c:tx>
            <c:v>Promedio</c:v>
          </c:tx>
          <c:marker>
            <c:symbol val="none"/>
          </c:marker>
          <c:dLbls>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1A-4544-8CA1-A78FF2E56E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val>
            <c:numRef>
              <c:f>#REF!</c:f>
              <c:numCache>
                <c:formatCode>General</c:formatCode>
                <c:ptCount val="1"/>
                <c:pt idx="0">
                  <c:v>1</c:v>
                </c:pt>
              </c:numCache>
            </c:numRef>
          </c:val>
          <c:smooth val="0"/>
          <c:extLst>
            <c:ext xmlns:c16="http://schemas.microsoft.com/office/drawing/2014/chart" uri="{C3380CC4-5D6E-409C-BE32-E72D297353CC}">
              <c16:uniqueId val="{00000002-521A-4544-8CA1-A78FF2E56E51}"/>
            </c:ext>
          </c:extLst>
        </c:ser>
        <c:dLbls>
          <c:showLegendKey val="0"/>
          <c:showVal val="0"/>
          <c:showCatName val="0"/>
          <c:showSerName val="0"/>
          <c:showPercent val="0"/>
          <c:showBubbleSize val="0"/>
        </c:dLbls>
        <c:smooth val="0"/>
        <c:axId val="2132302416"/>
        <c:axId val="2132305328"/>
      </c:lineChart>
      <c:catAx>
        <c:axId val="2132302416"/>
        <c:scaling>
          <c:orientation val="minMax"/>
        </c:scaling>
        <c:delete val="0"/>
        <c:axPos val="b"/>
        <c:numFmt formatCode="General" sourceLinked="1"/>
        <c:majorTickMark val="none"/>
        <c:minorTickMark val="cross"/>
        <c:tickLblPos val="nextTo"/>
        <c:txPr>
          <a:bodyPr rot="-5400000" vert="horz"/>
          <a:lstStyle/>
          <a:p>
            <a:pPr>
              <a:defRPr/>
            </a:pPr>
            <a:endParaRPr lang="en-US"/>
          </a:p>
        </c:txPr>
        <c:crossAx val="2132305328"/>
        <c:crosses val="autoZero"/>
        <c:auto val="1"/>
        <c:lblAlgn val="ctr"/>
        <c:lblOffset val="100"/>
        <c:noMultiLvlLbl val="0"/>
      </c:catAx>
      <c:valAx>
        <c:axId val="2132305328"/>
        <c:scaling>
          <c:orientation val="minMax"/>
        </c:scaling>
        <c:delete val="0"/>
        <c:axPos val="l"/>
        <c:majorGridlines>
          <c:spPr>
            <a:ln>
              <a:solidFill>
                <a:schemeClr val="bg1"/>
              </a:solidFill>
            </a:ln>
          </c:spPr>
        </c:majorGridlines>
        <c:numFmt formatCode="0%" sourceLinked="1"/>
        <c:majorTickMark val="out"/>
        <c:minorTickMark val="none"/>
        <c:tickLblPos val="nextTo"/>
        <c:crossAx val="2132302416"/>
        <c:crosses val="autoZero"/>
        <c:crossBetween val="between"/>
      </c:valAx>
    </c:plotArea>
    <c:plotVisOnly val="1"/>
    <c:dispBlanksAs val="gap"/>
    <c:showDLblsOverMax val="0"/>
  </c:chart>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7.9897335107993003E-2"/>
          <c:y val="5.1400554097404502E-2"/>
          <c:w val="0.83721345258382995"/>
          <c:h val="0.89719889180519097"/>
        </c:manualLayout>
      </c:layout>
      <c:lineChart>
        <c:grouping val="standard"/>
        <c:varyColors val="0"/>
        <c:ser>
          <c:idx val="0"/>
          <c:order val="0"/>
          <c:tx>
            <c:v>Primary Deficit/GDP</c:v>
          </c:tx>
          <c:marker>
            <c:symbol val="none"/>
          </c:marker>
          <c:cat>
            <c:numRef>
              <c:f>'Budget Constraint'!$A$4:$A$15</c:f>
              <c:numCache>
                <c:formatCode>General</c:formatCode>
                <c:ptCount val="12"/>
                <c:pt idx="0">
                  <c:v>1962</c:v>
                </c:pt>
                <c:pt idx="1">
                  <c:v>1963</c:v>
                </c:pt>
                <c:pt idx="2">
                  <c:v>1964</c:v>
                </c:pt>
                <c:pt idx="3">
                  <c:v>1965</c:v>
                </c:pt>
                <c:pt idx="4">
                  <c:v>1966</c:v>
                </c:pt>
                <c:pt idx="5">
                  <c:v>1967</c:v>
                </c:pt>
                <c:pt idx="6">
                  <c:v>1968</c:v>
                </c:pt>
                <c:pt idx="7">
                  <c:v>1969</c:v>
                </c:pt>
                <c:pt idx="8">
                  <c:v>1970</c:v>
                </c:pt>
                <c:pt idx="9">
                  <c:v>1971</c:v>
                </c:pt>
                <c:pt idx="10">
                  <c:v>1972</c:v>
                </c:pt>
                <c:pt idx="11">
                  <c:v>1973</c:v>
                </c:pt>
              </c:numCache>
            </c:numRef>
          </c:cat>
          <c:val>
            <c:numRef>
              <c:f>'Budget Constraint'!$G$4:$G$15</c:f>
              <c:numCache>
                <c:formatCode>0.0%</c:formatCode>
                <c:ptCount val="12"/>
                <c:pt idx="0">
                  <c:v>-1.5945934768813585E-3</c:v>
                </c:pt>
                <c:pt idx="1">
                  <c:v>1.2127925991200912E-2</c:v>
                </c:pt>
                <c:pt idx="2">
                  <c:v>1.2547991842453057E-2</c:v>
                </c:pt>
                <c:pt idx="3">
                  <c:v>-5.8359809243213054E-3</c:v>
                </c:pt>
                <c:pt idx="4">
                  <c:v>1.7329133195915881E-2</c:v>
                </c:pt>
                <c:pt idx="5">
                  <c:v>4.6538319559597169E-2</c:v>
                </c:pt>
                <c:pt idx="6">
                  <c:v>4.975797306665438E-2</c:v>
                </c:pt>
                <c:pt idx="7">
                  <c:v>1.223453726096964E-2</c:v>
                </c:pt>
                <c:pt idx="8">
                  <c:v>6.5575309999832939E-3</c:v>
                </c:pt>
                <c:pt idx="9">
                  <c:v>1.6800159390905029E-2</c:v>
                </c:pt>
                <c:pt idx="10">
                  <c:v>2.6748188086502613E-2</c:v>
                </c:pt>
                <c:pt idx="11">
                  <c:v>1.0066694864508683E-2</c:v>
                </c:pt>
              </c:numCache>
            </c:numRef>
          </c:val>
          <c:smooth val="0"/>
          <c:extLst>
            <c:ext xmlns:c16="http://schemas.microsoft.com/office/drawing/2014/chart" uri="{C3380CC4-5D6E-409C-BE32-E72D297353CC}">
              <c16:uniqueId val="{00000000-5036-428E-A926-98482E467CC8}"/>
            </c:ext>
          </c:extLst>
        </c:ser>
        <c:dLbls>
          <c:showLegendKey val="0"/>
          <c:showVal val="0"/>
          <c:showCatName val="0"/>
          <c:showSerName val="0"/>
          <c:showPercent val="0"/>
          <c:showBubbleSize val="0"/>
        </c:dLbls>
        <c:smooth val="0"/>
        <c:axId val="2132328192"/>
        <c:axId val="2132331040"/>
      </c:lineChart>
      <c:catAx>
        <c:axId val="2132328192"/>
        <c:scaling>
          <c:orientation val="minMax"/>
        </c:scaling>
        <c:delete val="0"/>
        <c:axPos val="b"/>
        <c:numFmt formatCode="General" sourceLinked="1"/>
        <c:majorTickMark val="out"/>
        <c:minorTickMark val="none"/>
        <c:tickLblPos val="nextTo"/>
        <c:crossAx val="2132331040"/>
        <c:crosses val="autoZero"/>
        <c:auto val="1"/>
        <c:lblAlgn val="ctr"/>
        <c:lblOffset val="100"/>
        <c:noMultiLvlLbl val="0"/>
      </c:catAx>
      <c:valAx>
        <c:axId val="2132331040"/>
        <c:scaling>
          <c:orientation val="minMax"/>
        </c:scaling>
        <c:delete val="0"/>
        <c:axPos val="l"/>
        <c:majorGridlines>
          <c:spPr>
            <a:ln>
              <a:solidFill>
                <a:schemeClr val="bg1"/>
              </a:solidFill>
            </a:ln>
          </c:spPr>
        </c:majorGridlines>
        <c:numFmt formatCode="0.0%" sourceLinked="1"/>
        <c:majorTickMark val="out"/>
        <c:minorTickMark val="none"/>
        <c:tickLblPos val="nextTo"/>
        <c:crossAx val="2132328192"/>
        <c:crosses val="autoZero"/>
        <c:crossBetween val="between"/>
      </c:valAx>
    </c:plotArea>
    <c:plotVisOnly val="1"/>
    <c:dispBlanksAs val="gap"/>
    <c:showDLblsOverMax val="0"/>
  </c:chart>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7.9897335107993003E-2"/>
          <c:y val="5.1400554097404502E-2"/>
          <c:w val="0.83721345258382995"/>
          <c:h val="0.89719889180519097"/>
        </c:manualLayout>
      </c:layout>
      <c:lineChart>
        <c:grouping val="standard"/>
        <c:varyColors val="0"/>
        <c:ser>
          <c:idx val="0"/>
          <c:order val="0"/>
          <c:tx>
            <c:v>Primary Deficit/GDP</c:v>
          </c:tx>
          <c:marker>
            <c:symbol val="none"/>
          </c:marker>
          <c:cat>
            <c:numRef>
              <c:f>'Budget Constraint'!$A$16:$A$31</c:f>
              <c:numCache>
                <c:formatCode>General</c:formatCode>
                <c:ptCount val="1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numCache>
            </c:numRef>
          </c:cat>
          <c:val>
            <c:numRef>
              <c:f>'Budget Constraint'!$G$16:$G$31</c:f>
              <c:numCache>
                <c:formatCode>0.0%</c:formatCode>
                <c:ptCount val="16"/>
                <c:pt idx="0">
                  <c:v>5.7354628901372289E-3</c:v>
                </c:pt>
                <c:pt idx="1">
                  <c:v>5.1536322162330263E-2</c:v>
                </c:pt>
                <c:pt idx="2">
                  <c:v>2.7010973887993103E-2</c:v>
                </c:pt>
                <c:pt idx="3">
                  <c:v>9.660644420555883E-3</c:v>
                </c:pt>
                <c:pt idx="4">
                  <c:v>1.4848140573661369E-2</c:v>
                </c:pt>
                <c:pt idx="5">
                  <c:v>-1.6197041106123272E-2</c:v>
                </c:pt>
                <c:pt idx="6">
                  <c:v>-4.0330144684853214E-3</c:v>
                </c:pt>
                <c:pt idx="7">
                  <c:v>2.8817987670056652E-2</c:v>
                </c:pt>
                <c:pt idx="8">
                  <c:v>1.0027406966066769E-2</c:v>
                </c:pt>
                <c:pt idx="9">
                  <c:v>4.9542549409997978E-2</c:v>
                </c:pt>
                <c:pt idx="10">
                  <c:v>5.7739397128618239E-2</c:v>
                </c:pt>
                <c:pt idx="11">
                  <c:v>2.1256641375142372E-2</c:v>
                </c:pt>
                <c:pt idx="12">
                  <c:v>1.3762587028057976E-2</c:v>
                </c:pt>
                <c:pt idx="13">
                  <c:v>8.2117265722302917E-3</c:v>
                </c:pt>
                <c:pt idx="14">
                  <c:v>1.3754138281225627E-2</c:v>
                </c:pt>
                <c:pt idx="15">
                  <c:v>2.9187890876385052E-3</c:v>
                </c:pt>
              </c:numCache>
            </c:numRef>
          </c:val>
          <c:smooth val="0"/>
          <c:extLst>
            <c:ext xmlns:c16="http://schemas.microsoft.com/office/drawing/2014/chart" uri="{C3380CC4-5D6E-409C-BE32-E72D297353CC}">
              <c16:uniqueId val="{00000000-6FCB-4B34-976F-30EC7C888F2B}"/>
            </c:ext>
          </c:extLst>
        </c:ser>
        <c:dLbls>
          <c:showLegendKey val="0"/>
          <c:showVal val="0"/>
          <c:showCatName val="0"/>
          <c:showSerName val="0"/>
          <c:showPercent val="0"/>
          <c:showBubbleSize val="0"/>
        </c:dLbls>
        <c:smooth val="0"/>
        <c:axId val="2132359712"/>
        <c:axId val="2132362624"/>
      </c:lineChart>
      <c:catAx>
        <c:axId val="2132359712"/>
        <c:scaling>
          <c:orientation val="minMax"/>
        </c:scaling>
        <c:delete val="0"/>
        <c:axPos val="b"/>
        <c:numFmt formatCode="General" sourceLinked="1"/>
        <c:majorTickMark val="out"/>
        <c:minorTickMark val="none"/>
        <c:tickLblPos val="nextTo"/>
        <c:crossAx val="2132362624"/>
        <c:crosses val="autoZero"/>
        <c:auto val="1"/>
        <c:lblAlgn val="ctr"/>
        <c:lblOffset val="100"/>
        <c:noMultiLvlLbl val="0"/>
      </c:catAx>
      <c:valAx>
        <c:axId val="2132362624"/>
        <c:scaling>
          <c:orientation val="minMax"/>
        </c:scaling>
        <c:delete val="0"/>
        <c:axPos val="l"/>
        <c:majorGridlines>
          <c:spPr>
            <a:ln>
              <a:solidFill>
                <a:schemeClr val="bg1"/>
              </a:solidFill>
            </a:ln>
          </c:spPr>
        </c:majorGridlines>
        <c:numFmt formatCode="0.0%" sourceLinked="1"/>
        <c:majorTickMark val="out"/>
        <c:minorTickMark val="none"/>
        <c:tickLblPos val="nextTo"/>
        <c:crossAx val="2132359712"/>
        <c:crosses val="autoZero"/>
        <c:crossBetween val="between"/>
      </c:valAx>
    </c:plotArea>
    <c:plotVisOnly val="1"/>
    <c:dispBlanksAs val="gap"/>
    <c:showDLblsOverMax val="0"/>
  </c:chart>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7.9897335107993003E-2"/>
          <c:y val="5.1400554097404502E-2"/>
          <c:w val="0.89627380775683196"/>
          <c:h val="0.89719889180519097"/>
        </c:manualLayout>
      </c:layout>
      <c:lineChart>
        <c:grouping val="standard"/>
        <c:varyColors val="0"/>
        <c:ser>
          <c:idx val="0"/>
          <c:order val="0"/>
          <c:tx>
            <c:v>Primary Deficit/GDP</c:v>
          </c:tx>
          <c:marker>
            <c:symbol val="none"/>
          </c:marker>
          <c:cat>
            <c:numRef>
              <c:f>'Budget Constraint'!$A$46:$A$56</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'Budget Constraint'!$G$46:$G$56</c:f>
              <c:numCache>
                <c:formatCode>0.0%</c:formatCode>
                <c:ptCount val="11"/>
                <c:pt idx="0">
                  <c:v>-2.1459125152034349E-2</c:v>
                </c:pt>
                <c:pt idx="1">
                  <c:v>-1.4589933950646556E-2</c:v>
                </c:pt>
                <c:pt idx="2">
                  <c:v>-2.0807571819353624E-2</c:v>
                </c:pt>
                <c:pt idx="3">
                  <c:v>-1.8132912118761356E-2</c:v>
                </c:pt>
                <c:pt idx="4">
                  <c:v>-3.0258425469593144E-2</c:v>
                </c:pt>
                <c:pt idx="5">
                  <c:v>3.4338402826252822E-3</c:v>
                </c:pt>
                <c:pt idx="6">
                  <c:v>-8.929349655473191E-3</c:v>
                </c:pt>
                <c:pt idx="7">
                  <c:v>-1.3615591717657808E-2</c:v>
                </c:pt>
                <c:pt idx="8">
                  <c:v>1.5447232822953856E-2</c:v>
                </c:pt>
                <c:pt idx="9">
                  <c:v>1.7664602327587233E-2</c:v>
                </c:pt>
                <c:pt idx="10">
                  <c:v>1.2994887700163785E-2</c:v>
                </c:pt>
              </c:numCache>
            </c:numRef>
          </c:val>
          <c:smooth val="0"/>
          <c:extLst>
            <c:ext xmlns:c16="http://schemas.microsoft.com/office/drawing/2014/chart" uri="{C3380CC4-5D6E-409C-BE32-E72D297353CC}">
              <c16:uniqueId val="{00000000-B7DD-4AAD-A232-D49143DD1A7B}"/>
            </c:ext>
          </c:extLst>
        </c:ser>
        <c:dLbls>
          <c:showLegendKey val="0"/>
          <c:showVal val="0"/>
          <c:showCatName val="0"/>
          <c:showSerName val="0"/>
          <c:showPercent val="0"/>
          <c:showBubbleSize val="0"/>
        </c:dLbls>
        <c:smooth val="0"/>
        <c:axId val="2132390096"/>
        <c:axId val="2132392944"/>
      </c:lineChart>
      <c:catAx>
        <c:axId val="2132390096"/>
        <c:scaling>
          <c:orientation val="minMax"/>
        </c:scaling>
        <c:delete val="0"/>
        <c:axPos val="b"/>
        <c:numFmt formatCode="General" sourceLinked="1"/>
        <c:majorTickMark val="out"/>
        <c:minorTickMark val="none"/>
        <c:tickLblPos val="nextTo"/>
        <c:crossAx val="2132392944"/>
        <c:crosses val="autoZero"/>
        <c:auto val="1"/>
        <c:lblAlgn val="ctr"/>
        <c:lblOffset val="100"/>
        <c:noMultiLvlLbl val="0"/>
      </c:catAx>
      <c:valAx>
        <c:axId val="2132392944"/>
        <c:scaling>
          <c:orientation val="minMax"/>
        </c:scaling>
        <c:delete val="0"/>
        <c:axPos val="l"/>
        <c:majorGridlines>
          <c:spPr>
            <a:ln>
              <a:solidFill>
                <a:schemeClr val="bg1"/>
              </a:solidFill>
            </a:ln>
          </c:spPr>
        </c:majorGridlines>
        <c:numFmt formatCode="0.0%" sourceLinked="1"/>
        <c:majorTickMark val="out"/>
        <c:minorTickMark val="none"/>
        <c:tickLblPos val="nextTo"/>
        <c:crossAx val="2132390096"/>
        <c:crosses val="autoZero"/>
        <c:crossBetween val="between"/>
      </c:valAx>
    </c:plotArea>
    <c:plotVisOnly val="1"/>
    <c:dispBlanksAs val="gap"/>
    <c:showDLblsOverMax val="0"/>
  </c:chart>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7.9897335107993003E-2"/>
          <c:y val="5.1400554097404502E-2"/>
          <c:w val="0.83721345258382995"/>
          <c:h val="0.89719889180519097"/>
        </c:manualLayout>
      </c:layout>
      <c:lineChart>
        <c:grouping val="standard"/>
        <c:varyColors val="0"/>
        <c:ser>
          <c:idx val="0"/>
          <c:order val="0"/>
          <c:tx>
            <c:v>Primary Deficit/GDP</c:v>
          </c:tx>
          <c:marker>
            <c:symbol val="none"/>
          </c:marker>
          <c:cat>
            <c:numRef>
              <c:f>'Budget Constraint'!$A$32:$A$45</c:f>
              <c:numCache>
                <c:formatCode>General</c:formatCode>
                <c:ptCount val="1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numCache>
            </c:numRef>
          </c:cat>
          <c:val>
            <c:numRef>
              <c:f>'Budget Constraint'!$G$32:$G$45</c:f>
              <c:numCache>
                <c:formatCode>0.0%</c:formatCode>
                <c:ptCount val="14"/>
                <c:pt idx="0">
                  <c:v>-5.1578931272886701E-2</c:v>
                </c:pt>
                <c:pt idx="1">
                  <c:v>-1.836441469103639E-2</c:v>
                </c:pt>
                <c:pt idx="2">
                  <c:v>-1.9856164580878588E-3</c:v>
                </c:pt>
                <c:pt idx="3">
                  <c:v>-1.5787664704104053E-2</c:v>
                </c:pt>
                <c:pt idx="4">
                  <c:v>-2.8648906239615881E-2</c:v>
                </c:pt>
                <c:pt idx="5">
                  <c:v>-1.17093173374683E-2</c:v>
                </c:pt>
                <c:pt idx="6">
                  <c:v>-1.0046038470536353E-2</c:v>
                </c:pt>
                <c:pt idx="7">
                  <c:v>7.4569472001049875E-3</c:v>
                </c:pt>
                <c:pt idx="8">
                  <c:v>-1.7627308929904783E-2</c:v>
                </c:pt>
                <c:pt idx="9">
                  <c:v>2.8575712199309728E-2</c:v>
                </c:pt>
                <c:pt idx="10">
                  <c:v>2.8945353052905715E-2</c:v>
                </c:pt>
                <c:pt idx="11">
                  <c:v>-9.9838576704444661E-3</c:v>
                </c:pt>
                <c:pt idx="12">
                  <c:v>2.0637656403093251E-2</c:v>
                </c:pt>
                <c:pt idx="13">
                  <c:v>-1.062269985414103E-2</c:v>
                </c:pt>
              </c:numCache>
            </c:numRef>
          </c:val>
          <c:smooth val="0"/>
          <c:extLst>
            <c:ext xmlns:c16="http://schemas.microsoft.com/office/drawing/2014/chart" uri="{C3380CC4-5D6E-409C-BE32-E72D297353CC}">
              <c16:uniqueId val="{00000000-74DF-47B7-9566-00DCF519A04C}"/>
            </c:ext>
          </c:extLst>
        </c:ser>
        <c:dLbls>
          <c:showLegendKey val="0"/>
          <c:showVal val="0"/>
          <c:showCatName val="0"/>
          <c:showSerName val="0"/>
          <c:showPercent val="0"/>
          <c:showBubbleSize val="0"/>
        </c:dLbls>
        <c:smooth val="0"/>
        <c:axId val="2131414608"/>
        <c:axId val="2131417520"/>
      </c:lineChart>
      <c:catAx>
        <c:axId val="2131414608"/>
        <c:scaling>
          <c:orientation val="minMax"/>
        </c:scaling>
        <c:delete val="0"/>
        <c:axPos val="b"/>
        <c:numFmt formatCode="General" sourceLinked="1"/>
        <c:majorTickMark val="out"/>
        <c:minorTickMark val="none"/>
        <c:tickLblPos val="nextTo"/>
        <c:crossAx val="2131417520"/>
        <c:crosses val="autoZero"/>
        <c:auto val="1"/>
        <c:lblAlgn val="ctr"/>
        <c:lblOffset val="100"/>
        <c:noMultiLvlLbl val="0"/>
      </c:catAx>
      <c:valAx>
        <c:axId val="2131417520"/>
        <c:scaling>
          <c:orientation val="minMax"/>
        </c:scaling>
        <c:delete val="0"/>
        <c:axPos val="l"/>
        <c:majorGridlines>
          <c:spPr>
            <a:ln>
              <a:solidFill>
                <a:schemeClr val="bg1"/>
              </a:solidFill>
            </a:ln>
          </c:spPr>
        </c:majorGridlines>
        <c:numFmt formatCode="0.0%" sourceLinked="1"/>
        <c:majorTickMark val="out"/>
        <c:minorTickMark val="none"/>
        <c:tickLblPos val="nextTo"/>
        <c:crossAx val="2131414608"/>
        <c:crosses val="autoZero"/>
        <c:crossBetween val="between"/>
      </c:valAx>
    </c:plotArea>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8" Type="http://schemas.openxmlformats.org/officeDocument/2006/relationships/chart" Target="../charts/chart30.xml"/><Relationship Id="rId13" Type="http://schemas.openxmlformats.org/officeDocument/2006/relationships/chart" Target="../charts/chart35.xml"/><Relationship Id="rId18" Type="http://schemas.openxmlformats.org/officeDocument/2006/relationships/chart" Target="../charts/chart40.xml"/><Relationship Id="rId3" Type="http://schemas.openxmlformats.org/officeDocument/2006/relationships/chart" Target="../charts/chart25.xml"/><Relationship Id="rId7" Type="http://schemas.openxmlformats.org/officeDocument/2006/relationships/chart" Target="../charts/chart29.xml"/><Relationship Id="rId12" Type="http://schemas.openxmlformats.org/officeDocument/2006/relationships/chart" Target="../charts/chart34.xml"/><Relationship Id="rId17" Type="http://schemas.openxmlformats.org/officeDocument/2006/relationships/chart" Target="../charts/chart39.xml"/><Relationship Id="rId2" Type="http://schemas.openxmlformats.org/officeDocument/2006/relationships/chart" Target="../charts/chart24.xml"/><Relationship Id="rId16" Type="http://schemas.openxmlformats.org/officeDocument/2006/relationships/chart" Target="../charts/chart38.xml"/><Relationship Id="rId1" Type="http://schemas.openxmlformats.org/officeDocument/2006/relationships/chart" Target="../charts/chart23.xml"/><Relationship Id="rId6" Type="http://schemas.openxmlformats.org/officeDocument/2006/relationships/chart" Target="../charts/chart28.xml"/><Relationship Id="rId11" Type="http://schemas.openxmlformats.org/officeDocument/2006/relationships/chart" Target="../charts/chart33.xml"/><Relationship Id="rId5" Type="http://schemas.openxmlformats.org/officeDocument/2006/relationships/chart" Target="../charts/chart27.xml"/><Relationship Id="rId15" Type="http://schemas.openxmlformats.org/officeDocument/2006/relationships/chart" Target="../charts/chart37.xml"/><Relationship Id="rId10" Type="http://schemas.openxmlformats.org/officeDocument/2006/relationships/chart" Target="../charts/chart32.xml"/><Relationship Id="rId4" Type="http://schemas.openxmlformats.org/officeDocument/2006/relationships/chart" Target="../charts/chart26.xml"/><Relationship Id="rId9" Type="http://schemas.openxmlformats.org/officeDocument/2006/relationships/chart" Target="../charts/chart31.xml"/><Relationship Id="rId14" Type="http://schemas.openxmlformats.org/officeDocument/2006/relationships/chart" Target="../charts/chart36.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8" Type="http://schemas.openxmlformats.org/officeDocument/2006/relationships/chart" Target="../charts/chart51.xml"/><Relationship Id="rId3" Type="http://schemas.openxmlformats.org/officeDocument/2006/relationships/chart" Target="../charts/chart46.xml"/><Relationship Id="rId7" Type="http://schemas.openxmlformats.org/officeDocument/2006/relationships/chart" Target="../charts/chart50.xml"/><Relationship Id="rId2" Type="http://schemas.openxmlformats.org/officeDocument/2006/relationships/chart" Target="../charts/chart45.xml"/><Relationship Id="rId1" Type="http://schemas.openxmlformats.org/officeDocument/2006/relationships/chart" Target="../charts/chart44.xml"/><Relationship Id="rId6" Type="http://schemas.openxmlformats.org/officeDocument/2006/relationships/chart" Target="../charts/chart49.xml"/><Relationship Id="rId5" Type="http://schemas.openxmlformats.org/officeDocument/2006/relationships/chart" Target="../charts/chart48.xml"/><Relationship Id="rId4" Type="http://schemas.openxmlformats.org/officeDocument/2006/relationships/chart" Target="../charts/chart47.xml"/><Relationship Id="rId9" Type="http://schemas.openxmlformats.org/officeDocument/2006/relationships/chart" Target="../charts/chart52.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22.xml.rels><?xml version="1.0" encoding="UTF-8" standalone="yes"?>
<Relationships xmlns="http://schemas.openxmlformats.org/package/2006/relationships"><Relationship Id="rId8" Type="http://schemas.openxmlformats.org/officeDocument/2006/relationships/chart" Target="../charts/chart62.xml"/><Relationship Id="rId13" Type="http://schemas.openxmlformats.org/officeDocument/2006/relationships/chart" Target="../charts/chart67.xml"/><Relationship Id="rId18" Type="http://schemas.openxmlformats.org/officeDocument/2006/relationships/chart" Target="../charts/chart72.xml"/><Relationship Id="rId3" Type="http://schemas.openxmlformats.org/officeDocument/2006/relationships/chart" Target="../charts/chart57.xml"/><Relationship Id="rId7" Type="http://schemas.openxmlformats.org/officeDocument/2006/relationships/chart" Target="../charts/chart61.xml"/><Relationship Id="rId12" Type="http://schemas.openxmlformats.org/officeDocument/2006/relationships/chart" Target="../charts/chart66.xml"/><Relationship Id="rId17" Type="http://schemas.openxmlformats.org/officeDocument/2006/relationships/chart" Target="../charts/chart71.xml"/><Relationship Id="rId2" Type="http://schemas.openxmlformats.org/officeDocument/2006/relationships/chart" Target="../charts/chart56.xml"/><Relationship Id="rId16" Type="http://schemas.openxmlformats.org/officeDocument/2006/relationships/chart" Target="../charts/chart70.xml"/><Relationship Id="rId1" Type="http://schemas.openxmlformats.org/officeDocument/2006/relationships/chart" Target="../charts/chart55.xml"/><Relationship Id="rId6" Type="http://schemas.openxmlformats.org/officeDocument/2006/relationships/chart" Target="../charts/chart60.xml"/><Relationship Id="rId11" Type="http://schemas.openxmlformats.org/officeDocument/2006/relationships/chart" Target="../charts/chart65.xml"/><Relationship Id="rId5" Type="http://schemas.openxmlformats.org/officeDocument/2006/relationships/chart" Target="../charts/chart59.xml"/><Relationship Id="rId15" Type="http://schemas.openxmlformats.org/officeDocument/2006/relationships/chart" Target="../charts/chart69.xml"/><Relationship Id="rId10" Type="http://schemas.openxmlformats.org/officeDocument/2006/relationships/chart" Target="../charts/chart64.xml"/><Relationship Id="rId19" Type="http://schemas.openxmlformats.org/officeDocument/2006/relationships/chart" Target="../charts/chart73.xml"/><Relationship Id="rId4" Type="http://schemas.openxmlformats.org/officeDocument/2006/relationships/chart" Target="../charts/chart58.xml"/><Relationship Id="rId9" Type="http://schemas.openxmlformats.org/officeDocument/2006/relationships/chart" Target="../charts/chart63.xml"/><Relationship Id="rId14" Type="http://schemas.openxmlformats.org/officeDocument/2006/relationships/chart" Target="../charts/chart68.xml"/></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8" Type="http://schemas.openxmlformats.org/officeDocument/2006/relationships/chart" Target="../charts/chart81.xml"/><Relationship Id="rId3" Type="http://schemas.openxmlformats.org/officeDocument/2006/relationships/chart" Target="../charts/chart76.xml"/><Relationship Id="rId7" Type="http://schemas.openxmlformats.org/officeDocument/2006/relationships/chart" Target="../charts/chart80.xml"/><Relationship Id="rId2" Type="http://schemas.openxmlformats.org/officeDocument/2006/relationships/chart" Target="../charts/chart75.xml"/><Relationship Id="rId1" Type="http://schemas.openxmlformats.org/officeDocument/2006/relationships/chart" Target="../charts/chart74.xml"/><Relationship Id="rId6" Type="http://schemas.openxmlformats.org/officeDocument/2006/relationships/chart" Target="../charts/chart79.xml"/><Relationship Id="rId5" Type="http://schemas.openxmlformats.org/officeDocument/2006/relationships/chart" Target="../charts/chart78.xml"/><Relationship Id="rId4" Type="http://schemas.openxmlformats.org/officeDocument/2006/relationships/chart" Target="../charts/chart77.xml"/><Relationship Id="rId9" Type="http://schemas.openxmlformats.org/officeDocument/2006/relationships/chart" Target="../charts/chart82.xml"/></Relationships>
</file>

<file path=xl/drawings/_rels/drawing27.xml.rels><?xml version="1.0" encoding="UTF-8" standalone="yes"?>
<Relationships xmlns="http://schemas.openxmlformats.org/package/2006/relationships"><Relationship Id="rId8" Type="http://schemas.openxmlformats.org/officeDocument/2006/relationships/chart" Target="../charts/chart90.xml"/><Relationship Id="rId13" Type="http://schemas.openxmlformats.org/officeDocument/2006/relationships/chart" Target="../charts/chart94.xml"/><Relationship Id="rId18" Type="http://schemas.openxmlformats.org/officeDocument/2006/relationships/chart" Target="../charts/chart99.xml"/><Relationship Id="rId26" Type="http://schemas.openxmlformats.org/officeDocument/2006/relationships/chart" Target="../charts/chart107.xml"/><Relationship Id="rId3" Type="http://schemas.openxmlformats.org/officeDocument/2006/relationships/chart" Target="../charts/chart85.xml"/><Relationship Id="rId21" Type="http://schemas.openxmlformats.org/officeDocument/2006/relationships/chart" Target="../charts/chart102.xml"/><Relationship Id="rId34" Type="http://schemas.openxmlformats.org/officeDocument/2006/relationships/chart" Target="../charts/chart115.xml"/><Relationship Id="rId7" Type="http://schemas.openxmlformats.org/officeDocument/2006/relationships/chart" Target="../charts/chart89.xml"/><Relationship Id="rId12" Type="http://schemas.openxmlformats.org/officeDocument/2006/relationships/chart" Target="../charts/chart93.xml"/><Relationship Id="rId17" Type="http://schemas.openxmlformats.org/officeDocument/2006/relationships/chart" Target="../charts/chart98.xml"/><Relationship Id="rId25" Type="http://schemas.openxmlformats.org/officeDocument/2006/relationships/chart" Target="../charts/chart106.xml"/><Relationship Id="rId33" Type="http://schemas.openxmlformats.org/officeDocument/2006/relationships/chart" Target="../charts/chart114.xml"/><Relationship Id="rId2" Type="http://schemas.openxmlformats.org/officeDocument/2006/relationships/chart" Target="../charts/chart84.xml"/><Relationship Id="rId16" Type="http://schemas.openxmlformats.org/officeDocument/2006/relationships/chart" Target="../charts/chart97.xml"/><Relationship Id="rId20" Type="http://schemas.openxmlformats.org/officeDocument/2006/relationships/chart" Target="../charts/chart101.xml"/><Relationship Id="rId29" Type="http://schemas.openxmlformats.org/officeDocument/2006/relationships/chart" Target="../charts/chart110.xml"/><Relationship Id="rId1" Type="http://schemas.openxmlformats.org/officeDocument/2006/relationships/chart" Target="../charts/chart83.xml"/><Relationship Id="rId6" Type="http://schemas.openxmlformats.org/officeDocument/2006/relationships/chart" Target="../charts/chart88.xml"/><Relationship Id="rId11" Type="http://schemas.openxmlformats.org/officeDocument/2006/relationships/image" Target="../media/image2.png"/><Relationship Id="rId24" Type="http://schemas.openxmlformats.org/officeDocument/2006/relationships/chart" Target="../charts/chart105.xml"/><Relationship Id="rId32" Type="http://schemas.openxmlformats.org/officeDocument/2006/relationships/chart" Target="../charts/chart113.xml"/><Relationship Id="rId5" Type="http://schemas.openxmlformats.org/officeDocument/2006/relationships/chart" Target="../charts/chart87.xml"/><Relationship Id="rId15" Type="http://schemas.openxmlformats.org/officeDocument/2006/relationships/chart" Target="../charts/chart96.xml"/><Relationship Id="rId23" Type="http://schemas.openxmlformats.org/officeDocument/2006/relationships/chart" Target="../charts/chart104.xml"/><Relationship Id="rId28" Type="http://schemas.openxmlformats.org/officeDocument/2006/relationships/chart" Target="../charts/chart109.xml"/><Relationship Id="rId10" Type="http://schemas.openxmlformats.org/officeDocument/2006/relationships/chart" Target="../charts/chart92.xml"/><Relationship Id="rId19" Type="http://schemas.openxmlformats.org/officeDocument/2006/relationships/chart" Target="../charts/chart100.xml"/><Relationship Id="rId31" Type="http://schemas.openxmlformats.org/officeDocument/2006/relationships/chart" Target="../charts/chart112.xml"/><Relationship Id="rId4" Type="http://schemas.openxmlformats.org/officeDocument/2006/relationships/chart" Target="../charts/chart86.xml"/><Relationship Id="rId9" Type="http://schemas.openxmlformats.org/officeDocument/2006/relationships/chart" Target="../charts/chart91.xml"/><Relationship Id="rId14" Type="http://schemas.openxmlformats.org/officeDocument/2006/relationships/chart" Target="../charts/chart95.xml"/><Relationship Id="rId22" Type="http://schemas.openxmlformats.org/officeDocument/2006/relationships/chart" Target="../charts/chart103.xml"/><Relationship Id="rId27" Type="http://schemas.openxmlformats.org/officeDocument/2006/relationships/chart" Target="../charts/chart108.xml"/><Relationship Id="rId30" Type="http://schemas.openxmlformats.org/officeDocument/2006/relationships/chart" Target="../charts/chart111.xml"/><Relationship Id="rId35" Type="http://schemas.openxmlformats.org/officeDocument/2006/relationships/chart" Target="../charts/chart11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10</xdr:col>
      <xdr:colOff>463550</xdr:colOff>
      <xdr:row>3</xdr:row>
      <xdr:rowOff>133350</xdr:rowOff>
    </xdr:from>
    <xdr:to>
      <xdr:col>19</xdr:col>
      <xdr:colOff>599810</xdr:colOff>
      <xdr:row>25</xdr:row>
      <xdr:rowOff>10391</xdr:rowOff>
    </xdr:to>
    <xdr:graphicFrame macro="">
      <xdr:nvGraphicFramePr>
        <xdr:cNvPr id="6" name="1 Gráfico">
          <a:extLst>
            <a:ext uri="{FF2B5EF4-FFF2-40B4-BE49-F238E27FC236}">
              <a16:creationId xmlns:a16="http://schemas.microsoft.com/office/drawing/2014/main" id="{00000000-0008-0000-3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471170</xdr:colOff>
      <xdr:row>12</xdr:row>
      <xdr:rowOff>97790</xdr:rowOff>
    </xdr:from>
    <xdr:to>
      <xdr:col>22</xdr:col>
      <xdr:colOff>528807</xdr:colOff>
      <xdr:row>30</xdr:row>
      <xdr:rowOff>102876</xdr:rowOff>
    </xdr:to>
    <xdr:graphicFrame macro="">
      <xdr:nvGraphicFramePr>
        <xdr:cNvPr id="2" name="Gráfico 1">
          <a:extLst>
            <a:ext uri="{FF2B5EF4-FFF2-40B4-BE49-F238E27FC236}">
              <a16:creationId xmlns:a16="http://schemas.microsoft.com/office/drawing/2014/main" id="{769621CC-188A-4B0C-8AE4-C7E2256379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5444</xdr:colOff>
      <xdr:row>32</xdr:row>
      <xdr:rowOff>54429</xdr:rowOff>
    </xdr:from>
    <xdr:to>
      <xdr:col>23</xdr:col>
      <xdr:colOff>96100</xdr:colOff>
      <xdr:row>50</xdr:row>
      <xdr:rowOff>67134</xdr:rowOff>
    </xdr:to>
    <xdr:graphicFrame macro="">
      <xdr:nvGraphicFramePr>
        <xdr:cNvPr id="3" name="Gráfico 2">
          <a:extLst>
            <a:ext uri="{FF2B5EF4-FFF2-40B4-BE49-F238E27FC236}">
              <a16:creationId xmlns:a16="http://schemas.microsoft.com/office/drawing/2014/main" id="{3AE29A8B-5166-4A4A-9394-F8EF16A725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9</xdr:col>
      <xdr:colOff>475591</xdr:colOff>
      <xdr:row>1</xdr:row>
      <xdr:rowOff>419100</xdr:rowOff>
    </xdr:from>
    <xdr:to>
      <xdr:col>18</xdr:col>
      <xdr:colOff>386691</xdr:colOff>
      <xdr:row>17</xdr:row>
      <xdr:rowOff>147138</xdr:rowOff>
    </xdr:to>
    <xdr:graphicFrame macro="">
      <xdr:nvGraphicFramePr>
        <xdr:cNvPr id="3" name="5 Gráfico">
          <a:extLst>
            <a:ext uri="{FF2B5EF4-FFF2-40B4-BE49-F238E27FC236}">
              <a16:creationId xmlns:a16="http://schemas.microsoft.com/office/drawing/2014/main" id="{13691819-1F80-4760-9685-647A11DFD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9</xdr:col>
      <xdr:colOff>731405</xdr:colOff>
      <xdr:row>3</xdr:row>
      <xdr:rowOff>86220</xdr:rowOff>
    </xdr:from>
    <xdr:to>
      <xdr:col>18</xdr:col>
      <xdr:colOff>626448</xdr:colOff>
      <xdr:row>24</xdr:row>
      <xdr:rowOff>40730</xdr:rowOff>
    </xdr:to>
    <xdr:graphicFrame macro="">
      <xdr:nvGraphicFramePr>
        <xdr:cNvPr id="3" name="5 Gráfico">
          <a:extLst>
            <a:ext uri="{FF2B5EF4-FFF2-40B4-BE49-F238E27FC236}">
              <a16:creationId xmlns:a16="http://schemas.microsoft.com/office/drawing/2014/main" id="{E04D5A31-1843-44E9-B4B9-081E8FB166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9</xdr:col>
      <xdr:colOff>740229</xdr:colOff>
      <xdr:row>1</xdr:row>
      <xdr:rowOff>32657</xdr:rowOff>
    </xdr:from>
    <xdr:to>
      <xdr:col>19</xdr:col>
      <xdr:colOff>307165</xdr:colOff>
      <xdr:row>18</xdr:row>
      <xdr:rowOff>163697</xdr:rowOff>
    </xdr:to>
    <xdr:graphicFrame macro="">
      <xdr:nvGraphicFramePr>
        <xdr:cNvPr id="5" name="Gráfico 4">
          <a:extLst>
            <a:ext uri="{FF2B5EF4-FFF2-40B4-BE49-F238E27FC236}">
              <a16:creationId xmlns:a16="http://schemas.microsoft.com/office/drawing/2014/main" id="{0D9BADD8-2D08-4552-A8C0-33BAEBB1E1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171450</xdr:colOff>
      <xdr:row>4</xdr:row>
      <xdr:rowOff>38100</xdr:rowOff>
    </xdr:from>
    <xdr:to>
      <xdr:col>13</xdr:col>
      <xdr:colOff>307165</xdr:colOff>
      <xdr:row>22</xdr:row>
      <xdr:rowOff>86409</xdr:rowOff>
    </xdr:to>
    <xdr:graphicFrame macro="">
      <xdr:nvGraphicFramePr>
        <xdr:cNvPr id="4" name="Gráfico 3">
          <a:extLst>
            <a:ext uri="{FF2B5EF4-FFF2-40B4-BE49-F238E27FC236}">
              <a16:creationId xmlns:a16="http://schemas.microsoft.com/office/drawing/2014/main" id="{5B7E0C6B-2E5F-4AFE-A96E-664DB494A5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333375</xdr:colOff>
      <xdr:row>4</xdr:row>
      <xdr:rowOff>33337</xdr:rowOff>
    </xdr:from>
    <xdr:to>
      <xdr:col>15</xdr:col>
      <xdr:colOff>246975</xdr:colOff>
      <xdr:row>21</xdr:row>
      <xdr:rowOff>34837</xdr:rowOff>
    </xdr:to>
    <xdr:graphicFrame macro="">
      <xdr:nvGraphicFramePr>
        <xdr:cNvPr id="2" name="Gráfico 1">
          <a:extLst>
            <a:ext uri="{FF2B5EF4-FFF2-40B4-BE49-F238E27FC236}">
              <a16:creationId xmlns:a16="http://schemas.microsoft.com/office/drawing/2014/main" id="{18D34E68-01A5-4053-A133-8F4D11FD15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4</xdr:col>
      <xdr:colOff>709173</xdr:colOff>
      <xdr:row>64</xdr:row>
      <xdr:rowOff>105747</xdr:rowOff>
    </xdr:from>
    <xdr:to>
      <xdr:col>16</xdr:col>
      <xdr:colOff>0</xdr:colOff>
      <xdr:row>92</xdr:row>
      <xdr:rowOff>69273</xdr:rowOff>
    </xdr:to>
    <xdr:graphicFrame macro="">
      <xdr:nvGraphicFramePr>
        <xdr:cNvPr id="2" name="1 Gráfico">
          <a:extLst>
            <a:ext uri="{FF2B5EF4-FFF2-40B4-BE49-F238E27FC236}">
              <a16:creationId xmlns:a16="http://schemas.microsoft.com/office/drawing/2014/main" id="{00000000-0008-0000-2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91682</xdr:colOff>
      <xdr:row>3</xdr:row>
      <xdr:rowOff>162995</xdr:rowOff>
    </xdr:from>
    <xdr:to>
      <xdr:col>33</xdr:col>
      <xdr:colOff>507319</xdr:colOff>
      <xdr:row>34</xdr:row>
      <xdr:rowOff>134472</xdr:rowOff>
    </xdr:to>
    <xdr:graphicFrame macro="">
      <xdr:nvGraphicFramePr>
        <xdr:cNvPr id="3" name="2 Gráfico">
          <a:extLst>
            <a:ext uri="{FF2B5EF4-FFF2-40B4-BE49-F238E27FC236}">
              <a16:creationId xmlns:a16="http://schemas.microsoft.com/office/drawing/2014/main" id="{00000000-0008-0000-2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661145</xdr:colOff>
      <xdr:row>64</xdr:row>
      <xdr:rowOff>168088</xdr:rowOff>
    </xdr:from>
    <xdr:to>
      <xdr:col>15</xdr:col>
      <xdr:colOff>459441</xdr:colOff>
      <xdr:row>82</xdr:row>
      <xdr:rowOff>44823</xdr:rowOff>
    </xdr:to>
    <xdr:graphicFrame macro="">
      <xdr:nvGraphicFramePr>
        <xdr:cNvPr id="3" name="2 Gráfico">
          <a:extLst>
            <a:ext uri="{FF2B5EF4-FFF2-40B4-BE49-F238E27FC236}">
              <a16:creationId xmlns:a16="http://schemas.microsoft.com/office/drawing/2014/main" id="{00000000-0008-0000-2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616323</xdr:colOff>
      <xdr:row>62</xdr:row>
      <xdr:rowOff>68357</xdr:rowOff>
    </xdr:from>
    <xdr:to>
      <xdr:col>28</xdr:col>
      <xdr:colOff>313764</xdr:colOff>
      <xdr:row>75</xdr:row>
      <xdr:rowOff>189380</xdr:rowOff>
    </xdr:to>
    <xdr:graphicFrame macro="">
      <xdr:nvGraphicFramePr>
        <xdr:cNvPr id="4" name="3 Gráfico">
          <a:extLst>
            <a:ext uri="{FF2B5EF4-FFF2-40B4-BE49-F238E27FC236}">
              <a16:creationId xmlns:a16="http://schemas.microsoft.com/office/drawing/2014/main" id="{00000000-0008-0000-2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1003589</xdr:colOff>
      <xdr:row>60</xdr:row>
      <xdr:rowOff>17318</xdr:rowOff>
    </xdr:from>
    <xdr:to>
      <xdr:col>13</xdr:col>
      <xdr:colOff>984539</xdr:colOff>
      <xdr:row>80</xdr:row>
      <xdr:rowOff>64942</xdr:rowOff>
    </xdr:to>
    <xdr:graphicFrame macro="">
      <xdr:nvGraphicFramePr>
        <xdr:cNvPr id="3" name="2 Gráfico">
          <a:extLst>
            <a:ext uri="{FF2B5EF4-FFF2-40B4-BE49-F238E27FC236}">
              <a16:creationId xmlns:a16="http://schemas.microsoft.com/office/drawing/2014/main" id="{00000000-0008-0000-2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2038</xdr:colOff>
      <xdr:row>81</xdr:row>
      <xdr:rowOff>0</xdr:rowOff>
    </xdr:from>
    <xdr:to>
      <xdr:col>13</xdr:col>
      <xdr:colOff>987443</xdr:colOff>
      <xdr:row>100</xdr:row>
      <xdr:rowOff>176213</xdr:rowOff>
    </xdr:to>
    <xdr:graphicFrame macro="">
      <xdr:nvGraphicFramePr>
        <xdr:cNvPr id="4" name="3 Gráfico">
          <a:extLst>
            <a:ext uri="{FF2B5EF4-FFF2-40B4-BE49-F238E27FC236}">
              <a16:creationId xmlns:a16="http://schemas.microsoft.com/office/drawing/2014/main" id="{00000000-0008-0000-2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36</xdr:col>
      <xdr:colOff>7423</xdr:colOff>
      <xdr:row>63</xdr:row>
      <xdr:rowOff>17318</xdr:rowOff>
    </xdr:from>
    <xdr:to>
      <xdr:col>49</xdr:col>
      <xdr:colOff>0</xdr:colOff>
      <xdr:row>83</xdr:row>
      <xdr:rowOff>41412</xdr:rowOff>
    </xdr:to>
    <xdr:graphicFrame macro="">
      <xdr:nvGraphicFramePr>
        <xdr:cNvPr id="7" name="6 Gráfico">
          <a:extLst>
            <a:ext uri="{FF2B5EF4-FFF2-40B4-BE49-F238E27FC236}">
              <a16:creationId xmlns:a16="http://schemas.microsoft.com/office/drawing/2014/main" id="{00000000-0008-0000-2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35</xdr:col>
      <xdr:colOff>979715</xdr:colOff>
      <xdr:row>84</xdr:row>
      <xdr:rowOff>190501</xdr:rowOff>
    </xdr:from>
    <xdr:to>
      <xdr:col>49</xdr:col>
      <xdr:colOff>0</xdr:colOff>
      <xdr:row>104</xdr:row>
      <xdr:rowOff>163286</xdr:rowOff>
    </xdr:to>
    <xdr:graphicFrame macro="">
      <xdr:nvGraphicFramePr>
        <xdr:cNvPr id="8" name="7 Gráfico">
          <a:extLst>
            <a:ext uri="{FF2B5EF4-FFF2-40B4-BE49-F238E27FC236}">
              <a16:creationId xmlns:a16="http://schemas.microsoft.com/office/drawing/2014/main" id="{00000000-0008-0000-25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36</xdr:col>
      <xdr:colOff>0</xdr:colOff>
      <xdr:row>108</xdr:row>
      <xdr:rowOff>0</xdr:rowOff>
    </xdr:from>
    <xdr:to>
      <xdr:col>49</xdr:col>
      <xdr:colOff>0</xdr:colOff>
      <xdr:row>127</xdr:row>
      <xdr:rowOff>163285</xdr:rowOff>
    </xdr:to>
    <xdr:graphicFrame macro="">
      <xdr:nvGraphicFramePr>
        <xdr:cNvPr id="10" name="9 Gráfico">
          <a:extLst>
            <a:ext uri="{FF2B5EF4-FFF2-40B4-BE49-F238E27FC236}">
              <a16:creationId xmlns:a16="http://schemas.microsoft.com/office/drawing/2014/main" id="{00000000-0008-0000-2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0</xdr:colOff>
      <xdr:row>60</xdr:row>
      <xdr:rowOff>0</xdr:rowOff>
    </xdr:from>
    <xdr:to>
      <xdr:col>31</xdr:col>
      <xdr:colOff>982097</xdr:colOff>
      <xdr:row>80</xdr:row>
      <xdr:rowOff>24094</xdr:rowOff>
    </xdr:to>
    <xdr:graphicFrame macro="">
      <xdr:nvGraphicFramePr>
        <xdr:cNvPr id="14" name="13 Gráfico">
          <a:extLst>
            <a:ext uri="{FF2B5EF4-FFF2-40B4-BE49-F238E27FC236}">
              <a16:creationId xmlns:a16="http://schemas.microsoft.com/office/drawing/2014/main" id="{00000000-0008-0000-25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0</xdr:colOff>
      <xdr:row>82</xdr:row>
      <xdr:rowOff>0</xdr:rowOff>
    </xdr:from>
    <xdr:to>
      <xdr:col>31</xdr:col>
      <xdr:colOff>982098</xdr:colOff>
      <xdr:row>102</xdr:row>
      <xdr:rowOff>24094</xdr:rowOff>
    </xdr:to>
    <xdr:graphicFrame macro="">
      <xdr:nvGraphicFramePr>
        <xdr:cNvPr id="15" name="14 Gráfico">
          <a:extLst>
            <a:ext uri="{FF2B5EF4-FFF2-40B4-BE49-F238E27FC236}">
              <a16:creationId xmlns:a16="http://schemas.microsoft.com/office/drawing/2014/main" id="{00000000-0008-0000-25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52</xdr:col>
      <xdr:colOff>0</xdr:colOff>
      <xdr:row>63</xdr:row>
      <xdr:rowOff>0</xdr:rowOff>
    </xdr:from>
    <xdr:to>
      <xdr:col>64</xdr:col>
      <xdr:colOff>761999</xdr:colOff>
      <xdr:row>84</xdr:row>
      <xdr:rowOff>98716</xdr:rowOff>
    </xdr:to>
    <xdr:graphicFrame macro="">
      <xdr:nvGraphicFramePr>
        <xdr:cNvPr id="16" name="15 Gráfico">
          <a:extLst>
            <a:ext uri="{FF2B5EF4-FFF2-40B4-BE49-F238E27FC236}">
              <a16:creationId xmlns:a16="http://schemas.microsoft.com/office/drawing/2014/main" id="{00000000-0008-0000-25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66</xdr:col>
      <xdr:colOff>519546</xdr:colOff>
      <xdr:row>63</xdr:row>
      <xdr:rowOff>51955</xdr:rowOff>
    </xdr:from>
    <xdr:to>
      <xdr:col>79</xdr:col>
      <xdr:colOff>519545</xdr:colOff>
      <xdr:row>84</xdr:row>
      <xdr:rowOff>150671</xdr:rowOff>
    </xdr:to>
    <xdr:graphicFrame macro="">
      <xdr:nvGraphicFramePr>
        <xdr:cNvPr id="17" name="16 Gráfico">
          <a:extLst>
            <a:ext uri="{FF2B5EF4-FFF2-40B4-BE49-F238E27FC236}">
              <a16:creationId xmlns:a16="http://schemas.microsoft.com/office/drawing/2014/main" id="{00000000-0008-0000-25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51</xdr:col>
      <xdr:colOff>744682</xdr:colOff>
      <xdr:row>89</xdr:row>
      <xdr:rowOff>155863</xdr:rowOff>
    </xdr:from>
    <xdr:to>
      <xdr:col>64</xdr:col>
      <xdr:colOff>744681</xdr:colOff>
      <xdr:row>111</xdr:row>
      <xdr:rowOff>46761</xdr:rowOff>
    </xdr:to>
    <xdr:graphicFrame macro="">
      <xdr:nvGraphicFramePr>
        <xdr:cNvPr id="18" name="17 Gráfico">
          <a:extLst>
            <a:ext uri="{FF2B5EF4-FFF2-40B4-BE49-F238E27FC236}">
              <a16:creationId xmlns:a16="http://schemas.microsoft.com/office/drawing/2014/main" id="{00000000-0008-0000-25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52</xdr:col>
      <xdr:colOff>0</xdr:colOff>
      <xdr:row>113</xdr:row>
      <xdr:rowOff>0</xdr:rowOff>
    </xdr:from>
    <xdr:to>
      <xdr:col>64</xdr:col>
      <xdr:colOff>761999</xdr:colOff>
      <xdr:row>134</xdr:row>
      <xdr:rowOff>98717</xdr:rowOff>
    </xdr:to>
    <xdr:graphicFrame macro="">
      <xdr:nvGraphicFramePr>
        <xdr:cNvPr id="19" name="18 Gráfico">
          <a:extLst>
            <a:ext uri="{FF2B5EF4-FFF2-40B4-BE49-F238E27FC236}">
              <a16:creationId xmlns:a16="http://schemas.microsoft.com/office/drawing/2014/main" id="{00000000-0008-0000-25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52</xdr:col>
      <xdr:colOff>0</xdr:colOff>
      <xdr:row>136</xdr:row>
      <xdr:rowOff>0</xdr:rowOff>
    </xdr:from>
    <xdr:to>
      <xdr:col>64</xdr:col>
      <xdr:colOff>761999</xdr:colOff>
      <xdr:row>157</xdr:row>
      <xdr:rowOff>98716</xdr:rowOff>
    </xdr:to>
    <xdr:graphicFrame macro="">
      <xdr:nvGraphicFramePr>
        <xdr:cNvPr id="20" name="19 Gráfico">
          <a:extLst>
            <a:ext uri="{FF2B5EF4-FFF2-40B4-BE49-F238E27FC236}">
              <a16:creationId xmlns:a16="http://schemas.microsoft.com/office/drawing/2014/main" id="{00000000-0008-0000-25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52</xdr:col>
      <xdr:colOff>0</xdr:colOff>
      <xdr:row>159</xdr:row>
      <xdr:rowOff>0</xdr:rowOff>
    </xdr:from>
    <xdr:to>
      <xdr:col>64</xdr:col>
      <xdr:colOff>761999</xdr:colOff>
      <xdr:row>180</xdr:row>
      <xdr:rowOff>98716</xdr:rowOff>
    </xdr:to>
    <xdr:graphicFrame macro="">
      <xdr:nvGraphicFramePr>
        <xdr:cNvPr id="21" name="20 Gráfico">
          <a:extLst>
            <a:ext uri="{FF2B5EF4-FFF2-40B4-BE49-F238E27FC236}">
              <a16:creationId xmlns:a16="http://schemas.microsoft.com/office/drawing/2014/main" id="{00000000-0008-0000-25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67</xdr:col>
      <xdr:colOff>0</xdr:colOff>
      <xdr:row>90</xdr:row>
      <xdr:rowOff>0</xdr:rowOff>
    </xdr:from>
    <xdr:to>
      <xdr:col>80</xdr:col>
      <xdr:colOff>-1</xdr:colOff>
      <xdr:row>111</xdr:row>
      <xdr:rowOff>98716</xdr:rowOff>
    </xdr:to>
    <xdr:graphicFrame macro="">
      <xdr:nvGraphicFramePr>
        <xdr:cNvPr id="22" name="21 Gráfico">
          <a:extLst>
            <a:ext uri="{FF2B5EF4-FFF2-40B4-BE49-F238E27FC236}">
              <a16:creationId xmlns:a16="http://schemas.microsoft.com/office/drawing/2014/main" id="{00000000-0008-0000-25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67</xdr:col>
      <xdr:colOff>0</xdr:colOff>
      <xdr:row>113</xdr:row>
      <xdr:rowOff>0</xdr:rowOff>
    </xdr:from>
    <xdr:to>
      <xdr:col>80</xdr:col>
      <xdr:colOff>-1</xdr:colOff>
      <xdr:row>134</xdr:row>
      <xdr:rowOff>98716</xdr:rowOff>
    </xdr:to>
    <xdr:graphicFrame macro="">
      <xdr:nvGraphicFramePr>
        <xdr:cNvPr id="23" name="22 Gráfico">
          <a:extLst>
            <a:ext uri="{FF2B5EF4-FFF2-40B4-BE49-F238E27FC236}">
              <a16:creationId xmlns:a16="http://schemas.microsoft.com/office/drawing/2014/main" id="{00000000-0008-0000-25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67</xdr:col>
      <xdr:colOff>0</xdr:colOff>
      <xdr:row>135</xdr:row>
      <xdr:rowOff>95250</xdr:rowOff>
    </xdr:from>
    <xdr:to>
      <xdr:col>80</xdr:col>
      <xdr:colOff>-1</xdr:colOff>
      <xdr:row>157</xdr:row>
      <xdr:rowOff>3466</xdr:rowOff>
    </xdr:to>
    <xdr:graphicFrame macro="">
      <xdr:nvGraphicFramePr>
        <xdr:cNvPr id="24" name="23 Gráfico">
          <a:extLst>
            <a:ext uri="{FF2B5EF4-FFF2-40B4-BE49-F238E27FC236}">
              <a16:creationId xmlns:a16="http://schemas.microsoft.com/office/drawing/2014/main" id="{00000000-0008-0000-25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67</xdr:col>
      <xdr:colOff>0</xdr:colOff>
      <xdr:row>159</xdr:row>
      <xdr:rowOff>0</xdr:rowOff>
    </xdr:from>
    <xdr:to>
      <xdr:col>80</xdr:col>
      <xdr:colOff>-1</xdr:colOff>
      <xdr:row>180</xdr:row>
      <xdr:rowOff>98716</xdr:rowOff>
    </xdr:to>
    <xdr:graphicFrame macro="">
      <xdr:nvGraphicFramePr>
        <xdr:cNvPr id="25" name="24 Gráfico">
          <a:extLst>
            <a:ext uri="{FF2B5EF4-FFF2-40B4-BE49-F238E27FC236}">
              <a16:creationId xmlns:a16="http://schemas.microsoft.com/office/drawing/2014/main" id="{00000000-0008-0000-25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36</xdr:col>
      <xdr:colOff>85970</xdr:colOff>
      <xdr:row>129</xdr:row>
      <xdr:rowOff>155862</xdr:rowOff>
    </xdr:from>
    <xdr:to>
      <xdr:col>47</xdr:col>
      <xdr:colOff>536863</xdr:colOff>
      <xdr:row>150</xdr:row>
      <xdr:rowOff>69271</xdr:rowOff>
    </xdr:to>
    <xdr:graphicFrame macro="">
      <xdr:nvGraphicFramePr>
        <xdr:cNvPr id="2" name="1 Gráfico">
          <a:extLst>
            <a:ext uri="{FF2B5EF4-FFF2-40B4-BE49-F238E27FC236}">
              <a16:creationId xmlns:a16="http://schemas.microsoft.com/office/drawing/2014/main" id="{00000000-0008-0000-2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23</xdr:col>
      <xdr:colOff>1031697</xdr:colOff>
      <xdr:row>67</xdr:row>
      <xdr:rowOff>78553</xdr:rowOff>
    </xdr:from>
    <xdr:to>
      <xdr:col>25</xdr:col>
      <xdr:colOff>1472629</xdr:colOff>
      <xdr:row>81</xdr:row>
      <xdr:rowOff>124787</xdr:rowOff>
    </xdr:to>
    <xdr:graphicFrame macro="">
      <xdr:nvGraphicFramePr>
        <xdr:cNvPr id="2" name="Gráfico 15">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386603</xdr:colOff>
      <xdr:row>58</xdr:row>
      <xdr:rowOff>124384</xdr:rowOff>
    </xdr:from>
    <xdr:to>
      <xdr:col>8</xdr:col>
      <xdr:colOff>487455</xdr:colOff>
      <xdr:row>73</xdr:row>
      <xdr:rowOff>10084</xdr:rowOff>
    </xdr:to>
    <xdr:graphicFrame macro="">
      <xdr:nvGraphicFramePr>
        <xdr:cNvPr id="4" name="3 Gráfico">
          <a:extLst>
            <a:ext uri="{FF2B5EF4-FFF2-40B4-BE49-F238E27FC236}">
              <a16:creationId xmlns:a16="http://schemas.microsoft.com/office/drawing/2014/main" id="{00000000-0008-0000-2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750795</xdr:colOff>
      <xdr:row>66</xdr:row>
      <xdr:rowOff>112064</xdr:rowOff>
    </xdr:from>
    <xdr:to>
      <xdr:col>7</xdr:col>
      <xdr:colOff>33617</xdr:colOff>
      <xdr:row>89</xdr:row>
      <xdr:rowOff>44823</xdr:rowOff>
    </xdr:to>
    <xdr:graphicFrame macro="">
      <xdr:nvGraphicFramePr>
        <xdr:cNvPr id="5" name="4 Gráfico">
          <a:extLst>
            <a:ext uri="{FF2B5EF4-FFF2-40B4-BE49-F238E27FC236}">
              <a16:creationId xmlns:a16="http://schemas.microsoft.com/office/drawing/2014/main" id="{00000000-0008-0000-2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129540</xdr:colOff>
      <xdr:row>1</xdr:row>
      <xdr:rowOff>0</xdr:rowOff>
    </xdr:from>
    <xdr:to>
      <xdr:col>19</xdr:col>
      <xdr:colOff>10350</xdr:colOff>
      <xdr:row>19</xdr:row>
      <xdr:rowOff>78789</xdr:rowOff>
    </xdr:to>
    <xdr:graphicFrame macro="">
      <xdr:nvGraphicFramePr>
        <xdr:cNvPr id="5" name="Gráfico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33</xdr:col>
      <xdr:colOff>342899</xdr:colOff>
      <xdr:row>5</xdr:row>
      <xdr:rowOff>42862</xdr:rowOff>
    </xdr:from>
    <xdr:to>
      <xdr:col>39</xdr:col>
      <xdr:colOff>723899</xdr:colOff>
      <xdr:row>19</xdr:row>
      <xdr:rowOff>114300</xdr:rowOff>
    </xdr:to>
    <xdr:graphicFrame macro="">
      <xdr:nvGraphicFramePr>
        <xdr:cNvPr id="12" name="11 Gráfico">
          <a:extLst>
            <a:ext uri="{FF2B5EF4-FFF2-40B4-BE49-F238E27FC236}">
              <a16:creationId xmlns:a16="http://schemas.microsoft.com/office/drawing/2014/main" id="{00000000-0008-0000-27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33</xdr:col>
      <xdr:colOff>342900</xdr:colOff>
      <xdr:row>20</xdr:row>
      <xdr:rowOff>161925</xdr:rowOff>
    </xdr:from>
    <xdr:to>
      <xdr:col>39</xdr:col>
      <xdr:colOff>723900</xdr:colOff>
      <xdr:row>35</xdr:row>
      <xdr:rowOff>42863</xdr:rowOff>
    </xdr:to>
    <xdr:graphicFrame macro="">
      <xdr:nvGraphicFramePr>
        <xdr:cNvPr id="13" name="12 Gráfico">
          <a:extLst>
            <a:ext uri="{FF2B5EF4-FFF2-40B4-BE49-F238E27FC236}">
              <a16:creationId xmlns:a16="http://schemas.microsoft.com/office/drawing/2014/main" id="{00000000-0008-0000-27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33</xdr:col>
      <xdr:colOff>295275</xdr:colOff>
      <xdr:row>51</xdr:row>
      <xdr:rowOff>9525</xdr:rowOff>
    </xdr:from>
    <xdr:to>
      <xdr:col>39</xdr:col>
      <xdr:colOff>676275</xdr:colOff>
      <xdr:row>66</xdr:row>
      <xdr:rowOff>4763</xdr:rowOff>
    </xdr:to>
    <xdr:graphicFrame macro="">
      <xdr:nvGraphicFramePr>
        <xdr:cNvPr id="14" name="13 Gráfico">
          <a:extLst>
            <a:ext uri="{FF2B5EF4-FFF2-40B4-BE49-F238E27FC236}">
              <a16:creationId xmlns:a16="http://schemas.microsoft.com/office/drawing/2014/main" id="{00000000-0008-0000-2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33</xdr:col>
      <xdr:colOff>333375</xdr:colOff>
      <xdr:row>36</xdr:row>
      <xdr:rowOff>0</xdr:rowOff>
    </xdr:from>
    <xdr:to>
      <xdr:col>39</xdr:col>
      <xdr:colOff>714375</xdr:colOff>
      <xdr:row>50</xdr:row>
      <xdr:rowOff>71438</xdr:rowOff>
    </xdr:to>
    <xdr:graphicFrame macro="">
      <xdr:nvGraphicFramePr>
        <xdr:cNvPr id="15" name="14 Gráfico">
          <a:extLst>
            <a:ext uri="{FF2B5EF4-FFF2-40B4-BE49-F238E27FC236}">
              <a16:creationId xmlns:a16="http://schemas.microsoft.com/office/drawing/2014/main" id="{00000000-0008-0000-27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26</xdr:col>
      <xdr:colOff>97970</xdr:colOff>
      <xdr:row>5</xdr:row>
      <xdr:rowOff>56469</xdr:rowOff>
    </xdr:from>
    <xdr:to>
      <xdr:col>32</xdr:col>
      <xdr:colOff>478970</xdr:colOff>
      <xdr:row>19</xdr:row>
      <xdr:rowOff>127907</xdr:rowOff>
    </xdr:to>
    <xdr:graphicFrame macro="">
      <xdr:nvGraphicFramePr>
        <xdr:cNvPr id="24" name="23 Gráfico">
          <a:extLst>
            <a:ext uri="{FF2B5EF4-FFF2-40B4-BE49-F238E27FC236}">
              <a16:creationId xmlns:a16="http://schemas.microsoft.com/office/drawing/2014/main" id="{00000000-0008-0000-27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26</xdr:col>
      <xdr:colOff>114300</xdr:colOff>
      <xdr:row>20</xdr:row>
      <xdr:rowOff>180975</xdr:rowOff>
    </xdr:from>
    <xdr:to>
      <xdr:col>32</xdr:col>
      <xdr:colOff>495300</xdr:colOff>
      <xdr:row>35</xdr:row>
      <xdr:rowOff>61913</xdr:rowOff>
    </xdr:to>
    <xdr:graphicFrame macro="">
      <xdr:nvGraphicFramePr>
        <xdr:cNvPr id="30" name="29 Gráfico">
          <a:extLst>
            <a:ext uri="{FF2B5EF4-FFF2-40B4-BE49-F238E27FC236}">
              <a16:creationId xmlns:a16="http://schemas.microsoft.com/office/drawing/2014/main" id="{00000000-0008-0000-27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26</xdr:col>
      <xdr:colOff>0</xdr:colOff>
      <xdr:row>36</xdr:row>
      <xdr:rowOff>0</xdr:rowOff>
    </xdr:from>
    <xdr:to>
      <xdr:col>32</xdr:col>
      <xdr:colOff>381000</xdr:colOff>
      <xdr:row>50</xdr:row>
      <xdr:rowOff>98652</xdr:rowOff>
    </xdr:to>
    <xdr:graphicFrame macro="">
      <xdr:nvGraphicFramePr>
        <xdr:cNvPr id="31" name="30 Gráfico">
          <a:extLst>
            <a:ext uri="{FF2B5EF4-FFF2-40B4-BE49-F238E27FC236}">
              <a16:creationId xmlns:a16="http://schemas.microsoft.com/office/drawing/2014/main" id="{00000000-0008-0000-27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26</xdr:col>
      <xdr:colOff>0</xdr:colOff>
      <xdr:row>52</xdr:row>
      <xdr:rowOff>0</xdr:rowOff>
    </xdr:from>
    <xdr:to>
      <xdr:col>32</xdr:col>
      <xdr:colOff>381000</xdr:colOff>
      <xdr:row>66</xdr:row>
      <xdr:rowOff>98652</xdr:rowOff>
    </xdr:to>
    <xdr:graphicFrame macro="">
      <xdr:nvGraphicFramePr>
        <xdr:cNvPr id="32" name="31 Gráfico">
          <a:extLst>
            <a:ext uri="{FF2B5EF4-FFF2-40B4-BE49-F238E27FC236}">
              <a16:creationId xmlns:a16="http://schemas.microsoft.com/office/drawing/2014/main" id="{00000000-0008-0000-27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13</xdr:col>
      <xdr:colOff>107372</xdr:colOff>
      <xdr:row>20</xdr:row>
      <xdr:rowOff>145040</xdr:rowOff>
    </xdr:from>
    <xdr:to>
      <xdr:col>23</xdr:col>
      <xdr:colOff>529070</xdr:colOff>
      <xdr:row>35</xdr:row>
      <xdr:rowOff>11690</xdr:rowOff>
    </xdr:to>
    <xdr:graphicFrame macro="">
      <xdr:nvGraphicFramePr>
        <xdr:cNvPr id="2" name="Gráfico 1">
          <a:extLst>
            <a:ext uri="{FF2B5EF4-FFF2-40B4-BE49-F238E27FC236}">
              <a16:creationId xmlns:a16="http://schemas.microsoft.com/office/drawing/2014/main" id="{00000000-0008-0000-2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7</xdr:col>
      <xdr:colOff>171450</xdr:colOff>
      <xdr:row>72</xdr:row>
      <xdr:rowOff>9525</xdr:rowOff>
    </xdr:from>
    <xdr:to>
      <xdr:col>20</xdr:col>
      <xdr:colOff>0</xdr:colOff>
      <xdr:row>88</xdr:row>
      <xdr:rowOff>85725</xdr:rowOff>
    </xdr:to>
    <xdr:graphicFrame macro="">
      <xdr:nvGraphicFramePr>
        <xdr:cNvPr id="2" name="2 Gráfico">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133349</xdr:colOff>
      <xdr:row>75</xdr:row>
      <xdr:rowOff>0</xdr:rowOff>
    </xdr:from>
    <xdr:to>
      <xdr:col>14</xdr:col>
      <xdr:colOff>371474</xdr:colOff>
      <xdr:row>93</xdr:row>
      <xdr:rowOff>4762</xdr:rowOff>
    </xdr:to>
    <xdr:graphicFrame macro="">
      <xdr:nvGraphicFramePr>
        <xdr:cNvPr id="3" name="2 Gráfico">
          <a:extLst>
            <a:ext uri="{FF2B5EF4-FFF2-40B4-BE49-F238E27FC236}">
              <a16:creationId xmlns:a16="http://schemas.microsoft.com/office/drawing/2014/main" id="{00000000-0008-0000-2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125</xdr:col>
      <xdr:colOff>342899</xdr:colOff>
      <xdr:row>5</xdr:row>
      <xdr:rowOff>42862</xdr:rowOff>
    </xdr:from>
    <xdr:to>
      <xdr:col>131</xdr:col>
      <xdr:colOff>723899</xdr:colOff>
      <xdr:row>19</xdr:row>
      <xdr:rowOff>114300</xdr:rowOff>
    </xdr:to>
    <xdr:graphicFrame macro="">
      <xdr:nvGraphicFramePr>
        <xdr:cNvPr id="2" name="1 Gráfico">
          <a:extLst>
            <a:ext uri="{FF2B5EF4-FFF2-40B4-BE49-F238E27FC236}">
              <a16:creationId xmlns:a16="http://schemas.microsoft.com/office/drawing/2014/main" id="{00000000-0008-0000-2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125</xdr:col>
      <xdr:colOff>342900</xdr:colOff>
      <xdr:row>20</xdr:row>
      <xdr:rowOff>161925</xdr:rowOff>
    </xdr:from>
    <xdr:to>
      <xdr:col>131</xdr:col>
      <xdr:colOff>723900</xdr:colOff>
      <xdr:row>35</xdr:row>
      <xdr:rowOff>42863</xdr:rowOff>
    </xdr:to>
    <xdr:graphicFrame macro="">
      <xdr:nvGraphicFramePr>
        <xdr:cNvPr id="3" name="2 Gráfico">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125</xdr:col>
      <xdr:colOff>295275</xdr:colOff>
      <xdr:row>51</xdr:row>
      <xdr:rowOff>9525</xdr:rowOff>
    </xdr:from>
    <xdr:to>
      <xdr:col>131</xdr:col>
      <xdr:colOff>676275</xdr:colOff>
      <xdr:row>66</xdr:row>
      <xdr:rowOff>4763</xdr:rowOff>
    </xdr:to>
    <xdr:graphicFrame macro="">
      <xdr:nvGraphicFramePr>
        <xdr:cNvPr id="4" name="3 Gráfico">
          <a:extLst>
            <a:ext uri="{FF2B5EF4-FFF2-40B4-BE49-F238E27FC236}">
              <a16:creationId xmlns:a16="http://schemas.microsoft.com/office/drawing/2014/main" id="{00000000-0008-0000-2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125</xdr:col>
      <xdr:colOff>333375</xdr:colOff>
      <xdr:row>36</xdr:row>
      <xdr:rowOff>0</xdr:rowOff>
    </xdr:from>
    <xdr:to>
      <xdr:col>131</xdr:col>
      <xdr:colOff>714375</xdr:colOff>
      <xdr:row>50</xdr:row>
      <xdr:rowOff>71438</xdr:rowOff>
    </xdr:to>
    <xdr:graphicFrame macro="">
      <xdr:nvGraphicFramePr>
        <xdr:cNvPr id="5" name="4 Gráfico">
          <a:extLst>
            <a:ext uri="{FF2B5EF4-FFF2-40B4-BE49-F238E27FC236}">
              <a16:creationId xmlns:a16="http://schemas.microsoft.com/office/drawing/2014/main" id="{00000000-0008-0000-2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118</xdr:col>
      <xdr:colOff>97970</xdr:colOff>
      <xdr:row>5</xdr:row>
      <xdr:rowOff>56469</xdr:rowOff>
    </xdr:from>
    <xdr:to>
      <xdr:col>124</xdr:col>
      <xdr:colOff>478970</xdr:colOff>
      <xdr:row>19</xdr:row>
      <xdr:rowOff>127907</xdr:rowOff>
    </xdr:to>
    <xdr:graphicFrame macro="">
      <xdr:nvGraphicFramePr>
        <xdr:cNvPr id="6" name="5 Gráfico">
          <a:extLst>
            <a:ext uri="{FF2B5EF4-FFF2-40B4-BE49-F238E27FC236}">
              <a16:creationId xmlns:a16="http://schemas.microsoft.com/office/drawing/2014/main" id="{00000000-0008-0000-2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118</xdr:col>
      <xdr:colOff>114300</xdr:colOff>
      <xdr:row>20</xdr:row>
      <xdr:rowOff>180975</xdr:rowOff>
    </xdr:from>
    <xdr:to>
      <xdr:col>124</xdr:col>
      <xdr:colOff>495300</xdr:colOff>
      <xdr:row>35</xdr:row>
      <xdr:rowOff>61913</xdr:rowOff>
    </xdr:to>
    <xdr:graphicFrame macro="">
      <xdr:nvGraphicFramePr>
        <xdr:cNvPr id="7" name="6 Gráfico">
          <a:extLst>
            <a:ext uri="{FF2B5EF4-FFF2-40B4-BE49-F238E27FC236}">
              <a16:creationId xmlns:a16="http://schemas.microsoft.com/office/drawing/2014/main" id="{00000000-0008-0000-2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118</xdr:col>
      <xdr:colOff>0</xdr:colOff>
      <xdr:row>36</xdr:row>
      <xdr:rowOff>0</xdr:rowOff>
    </xdr:from>
    <xdr:to>
      <xdr:col>124</xdr:col>
      <xdr:colOff>381000</xdr:colOff>
      <xdr:row>50</xdr:row>
      <xdr:rowOff>98652</xdr:rowOff>
    </xdr:to>
    <xdr:graphicFrame macro="">
      <xdr:nvGraphicFramePr>
        <xdr:cNvPr id="8" name="7 Gráfico">
          <a:extLst>
            <a:ext uri="{FF2B5EF4-FFF2-40B4-BE49-F238E27FC236}">
              <a16:creationId xmlns:a16="http://schemas.microsoft.com/office/drawing/2014/main" id="{00000000-0008-0000-2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118</xdr:col>
      <xdr:colOff>0</xdr:colOff>
      <xdr:row>52</xdr:row>
      <xdr:rowOff>0</xdr:rowOff>
    </xdr:from>
    <xdr:to>
      <xdr:col>124</xdr:col>
      <xdr:colOff>381000</xdr:colOff>
      <xdr:row>66</xdr:row>
      <xdr:rowOff>98652</xdr:rowOff>
    </xdr:to>
    <xdr:graphicFrame macro="">
      <xdr:nvGraphicFramePr>
        <xdr:cNvPr id="9" name="8 Gráfico">
          <a:extLst>
            <a:ext uri="{FF2B5EF4-FFF2-40B4-BE49-F238E27FC236}">
              <a16:creationId xmlns:a16="http://schemas.microsoft.com/office/drawing/2014/main" id="{00000000-0008-0000-2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111</xdr:col>
      <xdr:colOff>61230</xdr:colOff>
      <xdr:row>5</xdr:row>
      <xdr:rowOff>77558</xdr:rowOff>
    </xdr:from>
    <xdr:to>
      <xdr:col>117</xdr:col>
      <xdr:colOff>530677</xdr:colOff>
      <xdr:row>19</xdr:row>
      <xdr:rowOff>136070</xdr:rowOff>
    </xdr:to>
    <xdr:graphicFrame macro="">
      <xdr:nvGraphicFramePr>
        <xdr:cNvPr id="11" name="10 Gráfico">
          <a:extLst>
            <a:ext uri="{FF2B5EF4-FFF2-40B4-BE49-F238E27FC236}">
              <a16:creationId xmlns:a16="http://schemas.microsoft.com/office/drawing/2014/main" id="{00000000-0008-0000-2D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111</xdr:col>
      <xdr:colOff>0</xdr:colOff>
      <xdr:row>21</xdr:row>
      <xdr:rowOff>0</xdr:rowOff>
    </xdr:from>
    <xdr:to>
      <xdr:col>117</xdr:col>
      <xdr:colOff>469447</xdr:colOff>
      <xdr:row>35</xdr:row>
      <xdr:rowOff>58512</xdr:rowOff>
    </xdr:to>
    <xdr:graphicFrame macro="">
      <xdr:nvGraphicFramePr>
        <xdr:cNvPr id="12" name="11 Gráfico">
          <a:extLst>
            <a:ext uri="{FF2B5EF4-FFF2-40B4-BE49-F238E27FC236}">
              <a16:creationId xmlns:a16="http://schemas.microsoft.com/office/drawing/2014/main" id="{00000000-0008-0000-2D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111</xdr:col>
      <xdr:colOff>0</xdr:colOff>
      <xdr:row>36</xdr:row>
      <xdr:rowOff>0</xdr:rowOff>
    </xdr:from>
    <xdr:to>
      <xdr:col>117</xdr:col>
      <xdr:colOff>469447</xdr:colOff>
      <xdr:row>50</xdr:row>
      <xdr:rowOff>85725</xdr:rowOff>
    </xdr:to>
    <xdr:graphicFrame macro="">
      <xdr:nvGraphicFramePr>
        <xdr:cNvPr id="13" name="12 Gráfico">
          <a:extLst>
            <a:ext uri="{FF2B5EF4-FFF2-40B4-BE49-F238E27FC236}">
              <a16:creationId xmlns:a16="http://schemas.microsoft.com/office/drawing/2014/main" id="{00000000-0008-0000-2D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111</xdr:col>
      <xdr:colOff>0</xdr:colOff>
      <xdr:row>52</xdr:row>
      <xdr:rowOff>0</xdr:rowOff>
    </xdr:from>
    <xdr:to>
      <xdr:col>117</xdr:col>
      <xdr:colOff>469447</xdr:colOff>
      <xdr:row>66</xdr:row>
      <xdr:rowOff>99333</xdr:rowOff>
    </xdr:to>
    <xdr:graphicFrame macro="">
      <xdr:nvGraphicFramePr>
        <xdr:cNvPr id="14" name="13 Gráfico">
          <a:extLst>
            <a:ext uri="{FF2B5EF4-FFF2-40B4-BE49-F238E27FC236}">
              <a16:creationId xmlns:a16="http://schemas.microsoft.com/office/drawing/2014/main" id="{00000000-0008-0000-2D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104</xdr:col>
      <xdr:colOff>61230</xdr:colOff>
      <xdr:row>5</xdr:row>
      <xdr:rowOff>77558</xdr:rowOff>
    </xdr:from>
    <xdr:to>
      <xdr:col>110</xdr:col>
      <xdr:colOff>530677</xdr:colOff>
      <xdr:row>19</xdr:row>
      <xdr:rowOff>136070</xdr:rowOff>
    </xdr:to>
    <xdr:graphicFrame macro="">
      <xdr:nvGraphicFramePr>
        <xdr:cNvPr id="15" name="14 Gráfico">
          <a:extLst>
            <a:ext uri="{FF2B5EF4-FFF2-40B4-BE49-F238E27FC236}">
              <a16:creationId xmlns:a16="http://schemas.microsoft.com/office/drawing/2014/main" id="{00000000-0008-0000-2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104</xdr:col>
      <xdr:colOff>0</xdr:colOff>
      <xdr:row>21</xdr:row>
      <xdr:rowOff>0</xdr:rowOff>
    </xdr:from>
    <xdr:to>
      <xdr:col>110</xdr:col>
      <xdr:colOff>469447</xdr:colOff>
      <xdr:row>35</xdr:row>
      <xdr:rowOff>58512</xdr:rowOff>
    </xdr:to>
    <xdr:graphicFrame macro="">
      <xdr:nvGraphicFramePr>
        <xdr:cNvPr id="16" name="15 Gráfico">
          <a:extLst>
            <a:ext uri="{FF2B5EF4-FFF2-40B4-BE49-F238E27FC236}">
              <a16:creationId xmlns:a16="http://schemas.microsoft.com/office/drawing/2014/main" id="{00000000-0008-0000-2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104</xdr:col>
      <xdr:colOff>0</xdr:colOff>
      <xdr:row>36</xdr:row>
      <xdr:rowOff>0</xdr:rowOff>
    </xdr:from>
    <xdr:to>
      <xdr:col>110</xdr:col>
      <xdr:colOff>469447</xdr:colOff>
      <xdr:row>50</xdr:row>
      <xdr:rowOff>85725</xdr:rowOff>
    </xdr:to>
    <xdr:graphicFrame macro="">
      <xdr:nvGraphicFramePr>
        <xdr:cNvPr id="17" name="16 Gráfico">
          <a:extLst>
            <a:ext uri="{FF2B5EF4-FFF2-40B4-BE49-F238E27FC236}">
              <a16:creationId xmlns:a16="http://schemas.microsoft.com/office/drawing/2014/main" id="{00000000-0008-0000-2D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104</xdr:col>
      <xdr:colOff>0</xdr:colOff>
      <xdr:row>52</xdr:row>
      <xdr:rowOff>0</xdr:rowOff>
    </xdr:from>
    <xdr:to>
      <xdr:col>110</xdr:col>
      <xdr:colOff>469447</xdr:colOff>
      <xdr:row>66</xdr:row>
      <xdr:rowOff>99333</xdr:rowOff>
    </xdr:to>
    <xdr:graphicFrame macro="">
      <xdr:nvGraphicFramePr>
        <xdr:cNvPr id="18" name="17 Gráfico">
          <a:extLst>
            <a:ext uri="{FF2B5EF4-FFF2-40B4-BE49-F238E27FC236}">
              <a16:creationId xmlns:a16="http://schemas.microsoft.com/office/drawing/2014/main" id="{00000000-0008-0000-2D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180974</xdr:colOff>
      <xdr:row>84</xdr:row>
      <xdr:rowOff>142875</xdr:rowOff>
    </xdr:from>
    <xdr:to>
      <xdr:col>19</xdr:col>
      <xdr:colOff>933449</xdr:colOff>
      <xdr:row>100</xdr:row>
      <xdr:rowOff>71437</xdr:rowOff>
    </xdr:to>
    <xdr:graphicFrame macro="">
      <xdr:nvGraphicFramePr>
        <xdr:cNvPr id="19" name="18 Gráfico">
          <a:extLst>
            <a:ext uri="{FF2B5EF4-FFF2-40B4-BE49-F238E27FC236}">
              <a16:creationId xmlns:a16="http://schemas.microsoft.com/office/drawing/2014/main" id="{00000000-0008-0000-2D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19</xdr:col>
      <xdr:colOff>1495425</xdr:colOff>
      <xdr:row>60</xdr:row>
      <xdr:rowOff>142875</xdr:rowOff>
    </xdr:from>
    <xdr:to>
      <xdr:col>26</xdr:col>
      <xdr:colOff>619125</xdr:colOff>
      <xdr:row>76</xdr:row>
      <xdr:rowOff>119062</xdr:rowOff>
    </xdr:to>
    <xdr:graphicFrame macro="">
      <xdr:nvGraphicFramePr>
        <xdr:cNvPr id="20" name="19 Gráfico">
          <a:extLst>
            <a:ext uri="{FF2B5EF4-FFF2-40B4-BE49-F238E27FC236}">
              <a16:creationId xmlns:a16="http://schemas.microsoft.com/office/drawing/2014/main" id="{00000000-0008-0000-2D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24</xdr:col>
      <xdr:colOff>630115</xdr:colOff>
      <xdr:row>62</xdr:row>
      <xdr:rowOff>43962</xdr:rowOff>
    </xdr:from>
    <xdr:to>
      <xdr:col>24</xdr:col>
      <xdr:colOff>630138</xdr:colOff>
      <xdr:row>74</xdr:row>
      <xdr:rowOff>56469</xdr:rowOff>
    </xdr:to>
    <xdr:cxnSp macro="">
      <xdr:nvCxnSpPr>
        <xdr:cNvPr id="21" name="1 Conector recto">
          <a:extLst>
            <a:ext uri="{FF2B5EF4-FFF2-40B4-BE49-F238E27FC236}">
              <a16:creationId xmlns:a16="http://schemas.microsoft.com/office/drawing/2014/main" id="{00000000-0008-0000-2D00-000015000000}"/>
            </a:ext>
          </a:extLst>
        </xdr:cNvPr>
        <xdr:cNvCxnSpPr/>
      </xdr:nvCxnSpPr>
      <xdr:spPr>
        <a:xfrm>
          <a:off x="24356890" y="16265037"/>
          <a:ext cx="23" cy="2298507"/>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1362808</xdr:colOff>
      <xdr:row>62</xdr:row>
      <xdr:rowOff>29308</xdr:rowOff>
    </xdr:from>
    <xdr:to>
      <xdr:col>25</xdr:col>
      <xdr:colOff>1362831</xdr:colOff>
      <xdr:row>74</xdr:row>
      <xdr:rowOff>41815</xdr:rowOff>
    </xdr:to>
    <xdr:cxnSp macro="">
      <xdr:nvCxnSpPr>
        <xdr:cNvPr id="22" name="1 Conector recto">
          <a:extLst>
            <a:ext uri="{FF2B5EF4-FFF2-40B4-BE49-F238E27FC236}">
              <a16:creationId xmlns:a16="http://schemas.microsoft.com/office/drawing/2014/main" id="{00000000-0008-0000-2D00-000016000000}"/>
            </a:ext>
          </a:extLst>
        </xdr:cNvPr>
        <xdr:cNvCxnSpPr/>
      </xdr:nvCxnSpPr>
      <xdr:spPr>
        <a:xfrm>
          <a:off x="26108758" y="16250383"/>
          <a:ext cx="23" cy="2298507"/>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1533525</xdr:colOff>
      <xdr:row>65</xdr:row>
      <xdr:rowOff>28575</xdr:rowOff>
    </xdr:from>
    <xdr:to>
      <xdr:col>19</xdr:col>
      <xdr:colOff>1800225</xdr:colOff>
      <xdr:row>71</xdr:row>
      <xdr:rowOff>85725</xdr:rowOff>
    </xdr:to>
    <xdr:sp macro="" textlink="">
      <xdr:nvSpPr>
        <xdr:cNvPr id="23" name="22 CuadroTexto">
          <a:extLst>
            <a:ext uri="{FF2B5EF4-FFF2-40B4-BE49-F238E27FC236}">
              <a16:creationId xmlns:a16="http://schemas.microsoft.com/office/drawing/2014/main" id="{00000000-0008-0000-2D00-000017000000}"/>
            </a:ext>
          </a:extLst>
        </xdr:cNvPr>
        <xdr:cNvSpPr txBox="1"/>
      </xdr:nvSpPr>
      <xdr:spPr>
        <a:xfrm rot="16200000">
          <a:off x="17030700" y="17287875"/>
          <a:ext cx="12001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Y" sz="1100" b="1"/>
            <a:t>Index</a:t>
          </a:r>
          <a:r>
            <a:rPr lang="es-PY" sz="1100" b="1" baseline="0"/>
            <a:t> 1950=100</a:t>
          </a:r>
          <a:endParaRPr lang="es-PY" sz="1100" b="1"/>
        </a:p>
      </xdr:txBody>
    </xdr:sp>
    <xdr:clientData/>
  </xdr:twoCellAnchor>
  <xdr:twoCellAnchor>
    <xdr:from>
      <xdr:col>33</xdr:col>
      <xdr:colOff>2343151</xdr:colOff>
      <xdr:row>60</xdr:row>
      <xdr:rowOff>88447</xdr:rowOff>
    </xdr:from>
    <xdr:to>
      <xdr:col>37</xdr:col>
      <xdr:colOff>1183821</xdr:colOff>
      <xdr:row>75</xdr:row>
      <xdr:rowOff>108858</xdr:rowOff>
    </xdr:to>
    <xdr:graphicFrame macro="">
      <xdr:nvGraphicFramePr>
        <xdr:cNvPr id="24" name="23 Gráfico">
          <a:extLst>
            <a:ext uri="{FF2B5EF4-FFF2-40B4-BE49-F238E27FC236}">
              <a16:creationId xmlns:a16="http://schemas.microsoft.com/office/drawing/2014/main" id="{00000000-0008-0000-2D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0.18831</cdr:x>
      <cdr:y>0.08601</cdr:y>
    </cdr:from>
    <cdr:to>
      <cdr:x>0.18832</cdr:x>
      <cdr:y>0.84605</cdr:y>
    </cdr:to>
    <cdr:cxnSp macro="">
      <cdr:nvCxnSpPr>
        <cdr:cNvPr id="3" name="2 Conector recto">
          <a:extLst xmlns:a="http://schemas.openxmlformats.org/drawingml/2006/main">
            <a:ext uri="{FF2B5EF4-FFF2-40B4-BE49-F238E27FC236}">
              <a16:creationId xmlns:a16="http://schemas.microsoft.com/office/drawing/2014/main" id="{30E9EB6B-D3E5-495D-B2CE-F9D08593AEC5}"/>
            </a:ext>
          </a:extLst>
        </cdr:cNvPr>
        <cdr:cNvCxnSpPr/>
      </cdr:nvCxnSpPr>
      <cdr:spPr>
        <a:xfrm xmlns:a="http://schemas.openxmlformats.org/drawingml/2006/main">
          <a:off x="1641232" y="260105"/>
          <a:ext cx="23" cy="2298507"/>
        </a:xfrm>
        <a:prstGeom xmlns:a="http://schemas.openxmlformats.org/drawingml/2006/main" prst="line">
          <a:avLst/>
        </a:prstGeom>
        <a:ln xmlns:a="http://schemas.openxmlformats.org/drawingml/2006/main" w="19050">
          <a:solidFill>
            <a:srgbClr val="FFC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0.37489</cdr:x>
      <cdr:y>0.0919</cdr:y>
    </cdr:from>
    <cdr:to>
      <cdr:x>0.37489</cdr:x>
      <cdr:y>0.85195</cdr:y>
    </cdr:to>
    <cdr:cxnSp macro="">
      <cdr:nvCxnSpPr>
        <cdr:cNvPr id="9" name="1 Conector recto">
          <a:extLst xmlns:a="http://schemas.openxmlformats.org/drawingml/2006/main">
            <a:ext uri="{FF2B5EF4-FFF2-40B4-BE49-F238E27FC236}">
              <a16:creationId xmlns:a16="http://schemas.microsoft.com/office/drawing/2014/main" id="{1CC430F9-6AEF-4C26-BB45-0CE7A13BAD28}"/>
            </a:ext>
          </a:extLst>
        </cdr:cNvPr>
        <cdr:cNvCxnSpPr/>
      </cdr:nvCxnSpPr>
      <cdr:spPr>
        <a:xfrm xmlns:a="http://schemas.openxmlformats.org/drawingml/2006/main">
          <a:off x="3267319" y="277935"/>
          <a:ext cx="23" cy="2298507"/>
        </a:xfrm>
        <a:prstGeom xmlns:a="http://schemas.openxmlformats.org/drawingml/2006/main" prst="line">
          <a:avLst/>
        </a:prstGeom>
        <a:ln xmlns:a="http://schemas.openxmlformats.org/drawingml/2006/main" w="19050">
          <a:solidFill>
            <a:srgbClr val="FFC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4.xml><?xml version="1.0" encoding="utf-8"?>
<xdr:wsDr xmlns:xdr="http://schemas.openxmlformats.org/drawingml/2006/spreadsheetDrawing" xmlns:a="http://schemas.openxmlformats.org/drawingml/2006/main">
  <xdr:twoCellAnchor editAs="oneCell">
    <xdr:from>
      <xdr:col>5</xdr:col>
      <xdr:colOff>666750</xdr:colOff>
      <xdr:row>81</xdr:row>
      <xdr:rowOff>38100</xdr:rowOff>
    </xdr:from>
    <xdr:to>
      <xdr:col>12</xdr:col>
      <xdr:colOff>673309</xdr:colOff>
      <xdr:row>91</xdr:row>
      <xdr:rowOff>154506</xdr:rowOff>
    </xdr:to>
    <xdr:pic>
      <xdr:nvPicPr>
        <xdr:cNvPr id="2" name="1 Imagen">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a:stretch>
          <a:fillRect/>
        </a:stretch>
      </xdr:blipFill>
      <xdr:spPr>
        <a:xfrm>
          <a:off x="4476750" y="16211550"/>
          <a:ext cx="5340559" cy="210713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10</xdr:col>
      <xdr:colOff>0</xdr:colOff>
      <xdr:row>47</xdr:row>
      <xdr:rowOff>0</xdr:rowOff>
    </xdr:from>
    <xdr:to>
      <xdr:col>10</xdr:col>
      <xdr:colOff>304800</xdr:colOff>
      <xdr:row>48</xdr:row>
      <xdr:rowOff>114300</xdr:rowOff>
    </xdr:to>
    <xdr:sp macro="" textlink="">
      <xdr:nvSpPr>
        <xdr:cNvPr id="2" name="AutoShape 1" descr="https://6fea9cfd-a-62cb3a1a-s-sites.googlegroups.com/site/paraguayfmhla/home/Average%20Annual%20Per%20Capita%20GDP%20Growth.png?attachauth=ANoY7cq84n-cKMqSFG7zPqnr-oOYfyCjQHWI4WISe29R6boWDvJO10UdItjGqWYYpbkvuQC6gT4m3OGbSXzsiVI3_pyhiytNDjABBcv9KXSbiFnBxv0mdLSNInDkdMb_1Al5SRtegzrdLrSAnqh02dSoXtX-6akx2mxGPvVQmasu89r93AbruZCc3X6vnBt_WEVUx-il8asAT6sReQ6w60GM-T40NX7qN8czCsnbZEp5BsNnVkunlf-aTa7qBNOro5b7FVwvXOHf&amp;attredirects=0">
          <a:extLst>
            <a:ext uri="{FF2B5EF4-FFF2-40B4-BE49-F238E27FC236}">
              <a16:creationId xmlns:a16="http://schemas.microsoft.com/office/drawing/2014/main" id="{00000000-0008-0000-3000-000002000000}"/>
            </a:ext>
          </a:extLst>
        </xdr:cNvPr>
        <xdr:cNvSpPr>
          <a:spLocks noChangeAspect="1" noChangeArrowheads="1"/>
        </xdr:cNvSpPr>
      </xdr:nvSpPr>
      <xdr:spPr bwMode="auto">
        <a:xfrm>
          <a:off x="7620000" y="899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13</xdr:col>
      <xdr:colOff>485774</xdr:colOff>
      <xdr:row>4</xdr:row>
      <xdr:rowOff>33336</xdr:rowOff>
    </xdr:from>
    <xdr:to>
      <xdr:col>23</xdr:col>
      <xdr:colOff>123826</xdr:colOff>
      <xdr:row>22</xdr:row>
      <xdr:rowOff>142875</xdr:rowOff>
    </xdr:to>
    <xdr:graphicFrame macro="">
      <xdr:nvGraphicFramePr>
        <xdr:cNvPr id="2" name="1 Gráfico">
          <a:extLst>
            <a:ext uri="{FF2B5EF4-FFF2-40B4-BE49-F238E27FC236}">
              <a16:creationId xmlns:a16="http://schemas.microsoft.com/office/drawing/2014/main" id="{00000000-0008-0000-3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247649</xdr:colOff>
      <xdr:row>6</xdr:row>
      <xdr:rowOff>19051</xdr:rowOff>
    </xdr:from>
    <xdr:to>
      <xdr:col>31</xdr:col>
      <xdr:colOff>276225</xdr:colOff>
      <xdr:row>24</xdr:row>
      <xdr:rowOff>85725</xdr:rowOff>
    </xdr:to>
    <xdr:graphicFrame macro="">
      <xdr:nvGraphicFramePr>
        <xdr:cNvPr id="9" name="8 Gráfico">
          <a:extLst>
            <a:ext uri="{FF2B5EF4-FFF2-40B4-BE49-F238E27FC236}">
              <a16:creationId xmlns:a16="http://schemas.microsoft.com/office/drawing/2014/main" id="{00000000-0008-0000-3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33</xdr:col>
      <xdr:colOff>600075</xdr:colOff>
      <xdr:row>7</xdr:row>
      <xdr:rowOff>28573</xdr:rowOff>
    </xdr:from>
    <xdr:to>
      <xdr:col>40</xdr:col>
      <xdr:colOff>180975</xdr:colOff>
      <xdr:row>22</xdr:row>
      <xdr:rowOff>71436</xdr:rowOff>
    </xdr:to>
    <xdr:graphicFrame macro="">
      <xdr:nvGraphicFramePr>
        <xdr:cNvPr id="10" name="9 Gráfico">
          <a:extLst>
            <a:ext uri="{FF2B5EF4-FFF2-40B4-BE49-F238E27FC236}">
              <a16:creationId xmlns:a16="http://schemas.microsoft.com/office/drawing/2014/main" id="{00000000-0008-0000-3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487073</xdr:colOff>
      <xdr:row>23</xdr:row>
      <xdr:rowOff>60614</xdr:rowOff>
    </xdr:from>
    <xdr:to>
      <xdr:col>25</xdr:col>
      <xdr:colOff>51954</xdr:colOff>
      <xdr:row>55</xdr:row>
      <xdr:rowOff>173182</xdr:rowOff>
    </xdr:to>
    <xdr:graphicFrame macro="">
      <xdr:nvGraphicFramePr>
        <xdr:cNvPr id="3" name="2 Gráfico">
          <a:extLst>
            <a:ext uri="{FF2B5EF4-FFF2-40B4-BE49-F238E27FC236}">
              <a16:creationId xmlns:a16="http://schemas.microsoft.com/office/drawing/2014/main" id="{00000000-0008-0000-3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59</xdr:row>
      <xdr:rowOff>0</xdr:rowOff>
    </xdr:from>
    <xdr:to>
      <xdr:col>25</xdr:col>
      <xdr:colOff>547687</xdr:colOff>
      <xdr:row>82</xdr:row>
      <xdr:rowOff>71438</xdr:rowOff>
    </xdr:to>
    <xdr:graphicFrame macro="">
      <xdr:nvGraphicFramePr>
        <xdr:cNvPr id="12" name="11 Gráfico">
          <a:extLst>
            <a:ext uri="{FF2B5EF4-FFF2-40B4-BE49-F238E27FC236}">
              <a16:creationId xmlns:a16="http://schemas.microsoft.com/office/drawing/2014/main" id="{00000000-0008-0000-3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23812</xdr:colOff>
      <xdr:row>83</xdr:row>
      <xdr:rowOff>77932</xdr:rowOff>
    </xdr:from>
    <xdr:to>
      <xdr:col>25</xdr:col>
      <xdr:colOff>523874</xdr:colOff>
      <xdr:row>104</xdr:row>
      <xdr:rowOff>47625</xdr:rowOff>
    </xdr:to>
    <xdr:graphicFrame macro="">
      <xdr:nvGraphicFramePr>
        <xdr:cNvPr id="17" name="16 Gráfico">
          <a:extLst>
            <a:ext uri="{FF2B5EF4-FFF2-40B4-BE49-F238E27FC236}">
              <a16:creationId xmlns:a16="http://schemas.microsoft.com/office/drawing/2014/main" id="{00000000-0008-0000-3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758598</xdr:colOff>
      <xdr:row>105</xdr:row>
      <xdr:rowOff>115661</xdr:rowOff>
    </xdr:from>
    <xdr:to>
      <xdr:col>25</xdr:col>
      <xdr:colOff>523875</xdr:colOff>
      <xdr:row>127</xdr:row>
      <xdr:rowOff>0</xdr:rowOff>
    </xdr:to>
    <xdr:graphicFrame macro="">
      <xdr:nvGraphicFramePr>
        <xdr:cNvPr id="18" name="17 Gráfico">
          <a:extLst>
            <a:ext uri="{FF2B5EF4-FFF2-40B4-BE49-F238E27FC236}">
              <a16:creationId xmlns:a16="http://schemas.microsoft.com/office/drawing/2014/main" id="{00000000-0008-0000-3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14</xdr:col>
      <xdr:colOff>95250</xdr:colOff>
      <xdr:row>128</xdr:row>
      <xdr:rowOff>0</xdr:rowOff>
    </xdr:from>
    <xdr:to>
      <xdr:col>25</xdr:col>
      <xdr:colOff>476250</xdr:colOff>
      <xdr:row>148</xdr:row>
      <xdr:rowOff>142875</xdr:rowOff>
    </xdr:to>
    <xdr:graphicFrame macro="">
      <xdr:nvGraphicFramePr>
        <xdr:cNvPr id="19" name="18 Gráfico">
          <a:extLst>
            <a:ext uri="{FF2B5EF4-FFF2-40B4-BE49-F238E27FC236}">
              <a16:creationId xmlns:a16="http://schemas.microsoft.com/office/drawing/2014/main" id="{00000000-0008-0000-3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14</xdr:col>
      <xdr:colOff>166688</xdr:colOff>
      <xdr:row>149</xdr:row>
      <xdr:rowOff>166688</xdr:rowOff>
    </xdr:from>
    <xdr:to>
      <xdr:col>25</xdr:col>
      <xdr:colOff>500062</xdr:colOff>
      <xdr:row>170</xdr:row>
      <xdr:rowOff>71438</xdr:rowOff>
    </xdr:to>
    <xdr:graphicFrame macro="">
      <xdr:nvGraphicFramePr>
        <xdr:cNvPr id="20" name="19 Gráfico">
          <a:extLst>
            <a:ext uri="{FF2B5EF4-FFF2-40B4-BE49-F238E27FC236}">
              <a16:creationId xmlns:a16="http://schemas.microsoft.com/office/drawing/2014/main" id="{00000000-0008-0000-3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3</xdr:row>
      <xdr:rowOff>0</xdr:rowOff>
    </xdr:from>
    <xdr:to>
      <xdr:col>11</xdr:col>
      <xdr:colOff>57150</xdr:colOff>
      <xdr:row>20</xdr:row>
      <xdr:rowOff>66675</xdr:rowOff>
    </xdr:to>
    <xdr:graphicFrame macro="">
      <xdr:nvGraphicFramePr>
        <xdr:cNvPr id="2" name="1 Gráfico">
          <a:extLst>
            <a:ext uri="{FF2B5EF4-FFF2-40B4-BE49-F238E27FC236}">
              <a16:creationId xmlns:a16="http://schemas.microsoft.com/office/drawing/2014/main" id="{00000000-0008-0000-3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86</xdr:row>
      <xdr:rowOff>0</xdr:rowOff>
    </xdr:from>
    <xdr:to>
      <xdr:col>14</xdr:col>
      <xdr:colOff>419100</xdr:colOff>
      <xdr:row>101</xdr:row>
      <xdr:rowOff>0</xdr:rowOff>
    </xdr:to>
    <xdr:graphicFrame macro="">
      <xdr:nvGraphicFramePr>
        <xdr:cNvPr id="5" name="Gráfico 4">
          <a:extLst>
            <a:ext uri="{FF2B5EF4-FFF2-40B4-BE49-F238E27FC236}">
              <a16:creationId xmlns:a16="http://schemas.microsoft.com/office/drawing/2014/main" id="{00000000-0008-0000-3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102</xdr:row>
      <xdr:rowOff>1</xdr:rowOff>
    </xdr:from>
    <xdr:to>
      <xdr:col>14</xdr:col>
      <xdr:colOff>285750</xdr:colOff>
      <xdr:row>122</xdr:row>
      <xdr:rowOff>95251</xdr:rowOff>
    </xdr:to>
    <xdr:graphicFrame macro="">
      <xdr:nvGraphicFramePr>
        <xdr:cNvPr id="6" name="Gráfico 5">
          <a:extLst>
            <a:ext uri="{FF2B5EF4-FFF2-40B4-BE49-F238E27FC236}">
              <a16:creationId xmlns:a16="http://schemas.microsoft.com/office/drawing/2014/main" id="{00000000-0008-0000-3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759199</xdr:colOff>
      <xdr:row>69</xdr:row>
      <xdr:rowOff>152400</xdr:rowOff>
    </xdr:from>
    <xdr:to>
      <xdr:col>11</xdr:col>
      <xdr:colOff>225799</xdr:colOff>
      <xdr:row>84</xdr:row>
      <xdr:rowOff>38100</xdr:rowOff>
    </xdr:to>
    <xdr:graphicFrame macro="">
      <xdr:nvGraphicFramePr>
        <xdr:cNvPr id="8" name="Gráfico 7">
          <a:extLst>
            <a:ext uri="{FF2B5EF4-FFF2-40B4-BE49-F238E27FC236}">
              <a16:creationId xmlns:a16="http://schemas.microsoft.com/office/drawing/2014/main" id="{00000000-0008-0000-3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126</xdr:row>
      <xdr:rowOff>0</xdr:rowOff>
    </xdr:from>
    <xdr:to>
      <xdr:col>15</xdr:col>
      <xdr:colOff>364192</xdr:colOff>
      <xdr:row>140</xdr:row>
      <xdr:rowOff>76200</xdr:rowOff>
    </xdr:to>
    <xdr:graphicFrame macro="">
      <xdr:nvGraphicFramePr>
        <xdr:cNvPr id="10" name="Gráfico 9">
          <a:extLst>
            <a:ext uri="{FF2B5EF4-FFF2-40B4-BE49-F238E27FC236}">
              <a16:creationId xmlns:a16="http://schemas.microsoft.com/office/drawing/2014/main" id="{00000000-0008-0000-3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142</xdr:row>
      <xdr:rowOff>0</xdr:rowOff>
    </xdr:from>
    <xdr:to>
      <xdr:col>15</xdr:col>
      <xdr:colOff>171450</xdr:colOff>
      <xdr:row>165</xdr:row>
      <xdr:rowOff>47625</xdr:rowOff>
    </xdr:to>
    <xdr:graphicFrame macro="">
      <xdr:nvGraphicFramePr>
        <xdr:cNvPr id="11" name="Gráfico 10">
          <a:extLst>
            <a:ext uri="{FF2B5EF4-FFF2-40B4-BE49-F238E27FC236}">
              <a16:creationId xmlns:a16="http://schemas.microsoft.com/office/drawing/2014/main" id="{00000000-0008-0000-37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167</xdr:row>
      <xdr:rowOff>0</xdr:rowOff>
    </xdr:from>
    <xdr:to>
      <xdr:col>13</xdr:col>
      <xdr:colOff>655546</xdr:colOff>
      <xdr:row>186</xdr:row>
      <xdr:rowOff>88526</xdr:rowOff>
    </xdr:to>
    <xdr:graphicFrame macro="">
      <xdr:nvGraphicFramePr>
        <xdr:cNvPr id="12" name="Gráfico 11">
          <a:extLst>
            <a:ext uri="{FF2B5EF4-FFF2-40B4-BE49-F238E27FC236}">
              <a16:creationId xmlns:a16="http://schemas.microsoft.com/office/drawing/2014/main" id="{00000000-0008-0000-37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10085</xdr:colOff>
      <xdr:row>22</xdr:row>
      <xdr:rowOff>104775</xdr:rowOff>
    </xdr:from>
    <xdr:to>
      <xdr:col>13</xdr:col>
      <xdr:colOff>632012</xdr:colOff>
      <xdr:row>36</xdr:row>
      <xdr:rowOff>180975</xdr:rowOff>
    </xdr:to>
    <xdr:graphicFrame macro="">
      <xdr:nvGraphicFramePr>
        <xdr:cNvPr id="13" name="Gráfico 12">
          <a:extLst>
            <a:ext uri="{FF2B5EF4-FFF2-40B4-BE49-F238E27FC236}">
              <a16:creationId xmlns:a16="http://schemas.microsoft.com/office/drawing/2014/main" id="{00000000-0008-0000-37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xdr:colOff>
      <xdr:row>38</xdr:row>
      <xdr:rowOff>0</xdr:rowOff>
    </xdr:from>
    <xdr:to>
      <xdr:col>17</xdr:col>
      <xdr:colOff>414619</xdr:colOff>
      <xdr:row>55</xdr:row>
      <xdr:rowOff>168088</xdr:rowOff>
    </xdr:to>
    <xdr:graphicFrame macro="">
      <xdr:nvGraphicFramePr>
        <xdr:cNvPr id="14" name="Gráfico 13">
          <a:extLst>
            <a:ext uri="{FF2B5EF4-FFF2-40B4-BE49-F238E27FC236}">
              <a16:creationId xmlns:a16="http://schemas.microsoft.com/office/drawing/2014/main" id="{00000000-0008-0000-3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705971</xdr:colOff>
      <xdr:row>70</xdr:row>
      <xdr:rowOff>112058</xdr:rowOff>
    </xdr:from>
    <xdr:to>
      <xdr:col>26</xdr:col>
      <xdr:colOff>526677</xdr:colOff>
      <xdr:row>85</xdr:row>
      <xdr:rowOff>56028</xdr:rowOff>
    </xdr:to>
    <xdr:graphicFrame macro="">
      <xdr:nvGraphicFramePr>
        <xdr:cNvPr id="15" name="2 Gráfico">
          <a:extLst>
            <a:ext uri="{FF2B5EF4-FFF2-40B4-BE49-F238E27FC236}">
              <a16:creationId xmlns:a16="http://schemas.microsoft.com/office/drawing/2014/main" id="{00000000-0008-0000-37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24</xdr:col>
      <xdr:colOff>47625</xdr:colOff>
      <xdr:row>74</xdr:row>
      <xdr:rowOff>171450</xdr:rowOff>
    </xdr:from>
    <xdr:to>
      <xdr:col>25</xdr:col>
      <xdr:colOff>266700</xdr:colOff>
      <xdr:row>81</xdr:row>
      <xdr:rowOff>180975</xdr:rowOff>
    </xdr:to>
    <xdr:pic>
      <xdr:nvPicPr>
        <xdr:cNvPr id="27" name="Imagen 26">
          <a:extLst>
            <a:ext uri="{FF2B5EF4-FFF2-40B4-BE49-F238E27FC236}">
              <a16:creationId xmlns:a16="http://schemas.microsoft.com/office/drawing/2014/main" id="{00000000-0008-0000-3700-00001B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8335625" y="14287500"/>
          <a:ext cx="981075" cy="134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627529</xdr:colOff>
      <xdr:row>69</xdr:row>
      <xdr:rowOff>190499</xdr:rowOff>
    </xdr:from>
    <xdr:to>
      <xdr:col>19</xdr:col>
      <xdr:colOff>481853</xdr:colOff>
      <xdr:row>84</xdr:row>
      <xdr:rowOff>105054</xdr:rowOff>
    </xdr:to>
    <xdr:graphicFrame macro="">
      <xdr:nvGraphicFramePr>
        <xdr:cNvPr id="16" name="1 Gráfico">
          <a:extLst>
            <a:ext uri="{FF2B5EF4-FFF2-40B4-BE49-F238E27FC236}">
              <a16:creationId xmlns:a16="http://schemas.microsoft.com/office/drawing/2014/main" id="{00000000-0008-0000-37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26</xdr:col>
      <xdr:colOff>717176</xdr:colOff>
      <xdr:row>70</xdr:row>
      <xdr:rowOff>44822</xdr:rowOff>
    </xdr:from>
    <xdr:to>
      <xdr:col>33</xdr:col>
      <xdr:colOff>537882</xdr:colOff>
      <xdr:row>86</xdr:row>
      <xdr:rowOff>78439</xdr:rowOff>
    </xdr:to>
    <xdr:graphicFrame macro="">
      <xdr:nvGraphicFramePr>
        <xdr:cNvPr id="17" name="4 Gráfico">
          <a:extLst>
            <a:ext uri="{FF2B5EF4-FFF2-40B4-BE49-F238E27FC236}">
              <a16:creationId xmlns:a16="http://schemas.microsoft.com/office/drawing/2014/main" id="{00000000-0008-0000-37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34</xdr:col>
      <xdr:colOff>0</xdr:colOff>
      <xdr:row>71</xdr:row>
      <xdr:rowOff>0</xdr:rowOff>
    </xdr:from>
    <xdr:to>
      <xdr:col>40</xdr:col>
      <xdr:colOff>582706</xdr:colOff>
      <xdr:row>86</xdr:row>
      <xdr:rowOff>6444</xdr:rowOff>
    </xdr:to>
    <xdr:graphicFrame macro="">
      <xdr:nvGraphicFramePr>
        <xdr:cNvPr id="18" name="3 Gráfico">
          <a:extLst>
            <a:ext uri="{FF2B5EF4-FFF2-40B4-BE49-F238E27FC236}">
              <a16:creationId xmlns:a16="http://schemas.microsoft.com/office/drawing/2014/main" id="{00000000-0008-0000-37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16</xdr:col>
      <xdr:colOff>0</xdr:colOff>
      <xdr:row>87</xdr:row>
      <xdr:rowOff>0</xdr:rowOff>
    </xdr:from>
    <xdr:to>
      <xdr:col>22</xdr:col>
      <xdr:colOff>582706</xdr:colOff>
      <xdr:row>101</xdr:row>
      <xdr:rowOff>105055</xdr:rowOff>
    </xdr:to>
    <xdr:graphicFrame macro="">
      <xdr:nvGraphicFramePr>
        <xdr:cNvPr id="36" name="1 Gráfico">
          <a:extLst>
            <a:ext uri="{FF2B5EF4-FFF2-40B4-BE49-F238E27FC236}">
              <a16:creationId xmlns:a16="http://schemas.microsoft.com/office/drawing/2014/main" id="{00000000-0008-0000-37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24</xdr:col>
      <xdr:colOff>47625</xdr:colOff>
      <xdr:row>87</xdr:row>
      <xdr:rowOff>0</xdr:rowOff>
    </xdr:from>
    <xdr:to>
      <xdr:col>30</xdr:col>
      <xdr:colOff>636443</xdr:colOff>
      <xdr:row>101</xdr:row>
      <xdr:rowOff>140711</xdr:rowOff>
    </xdr:to>
    <xdr:graphicFrame macro="">
      <xdr:nvGraphicFramePr>
        <xdr:cNvPr id="37" name="2 Gráfico">
          <a:extLst>
            <a:ext uri="{FF2B5EF4-FFF2-40B4-BE49-F238E27FC236}">
              <a16:creationId xmlns:a16="http://schemas.microsoft.com/office/drawing/2014/main" id="{00000000-0008-0000-37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38</xdr:col>
      <xdr:colOff>69273</xdr:colOff>
      <xdr:row>87</xdr:row>
      <xdr:rowOff>20782</xdr:rowOff>
    </xdr:from>
    <xdr:to>
      <xdr:col>44</xdr:col>
      <xdr:colOff>658091</xdr:colOff>
      <xdr:row>102</xdr:row>
      <xdr:rowOff>33338</xdr:rowOff>
    </xdr:to>
    <xdr:graphicFrame macro="">
      <xdr:nvGraphicFramePr>
        <xdr:cNvPr id="38" name="3 Gráfico">
          <a:extLst>
            <a:ext uri="{FF2B5EF4-FFF2-40B4-BE49-F238E27FC236}">
              <a16:creationId xmlns:a16="http://schemas.microsoft.com/office/drawing/2014/main" id="{00000000-0008-0000-37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30</xdr:col>
      <xdr:colOff>733425</xdr:colOff>
      <xdr:row>87</xdr:row>
      <xdr:rowOff>78798</xdr:rowOff>
    </xdr:from>
    <xdr:to>
      <xdr:col>37</xdr:col>
      <xdr:colOff>560243</xdr:colOff>
      <xdr:row>101</xdr:row>
      <xdr:rowOff>184872</xdr:rowOff>
    </xdr:to>
    <xdr:graphicFrame macro="">
      <xdr:nvGraphicFramePr>
        <xdr:cNvPr id="39" name="4 Gráfico">
          <a:extLst>
            <a:ext uri="{FF2B5EF4-FFF2-40B4-BE49-F238E27FC236}">
              <a16:creationId xmlns:a16="http://schemas.microsoft.com/office/drawing/2014/main" id="{00000000-0008-0000-37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16</xdr:col>
      <xdr:colOff>0</xdr:colOff>
      <xdr:row>104</xdr:row>
      <xdr:rowOff>0</xdr:rowOff>
    </xdr:from>
    <xdr:to>
      <xdr:col>22</xdr:col>
      <xdr:colOff>582706</xdr:colOff>
      <xdr:row>118</xdr:row>
      <xdr:rowOff>105055</xdr:rowOff>
    </xdr:to>
    <xdr:graphicFrame macro="">
      <xdr:nvGraphicFramePr>
        <xdr:cNvPr id="40" name="1 Gráfico">
          <a:extLst>
            <a:ext uri="{FF2B5EF4-FFF2-40B4-BE49-F238E27FC236}">
              <a16:creationId xmlns:a16="http://schemas.microsoft.com/office/drawing/2014/main" id="{00000000-0008-0000-37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24</xdr:col>
      <xdr:colOff>0</xdr:colOff>
      <xdr:row>104</xdr:row>
      <xdr:rowOff>0</xdr:rowOff>
    </xdr:from>
    <xdr:to>
      <xdr:col>30</xdr:col>
      <xdr:colOff>582706</xdr:colOff>
      <xdr:row>118</xdr:row>
      <xdr:rowOff>105055</xdr:rowOff>
    </xdr:to>
    <xdr:graphicFrame macro="">
      <xdr:nvGraphicFramePr>
        <xdr:cNvPr id="42" name="1 Gráfico">
          <a:extLst>
            <a:ext uri="{FF2B5EF4-FFF2-40B4-BE49-F238E27FC236}">
              <a16:creationId xmlns:a16="http://schemas.microsoft.com/office/drawing/2014/main" id="{00000000-0008-0000-37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31</xdr:col>
      <xdr:colOff>0</xdr:colOff>
      <xdr:row>104</xdr:row>
      <xdr:rowOff>0</xdr:rowOff>
    </xdr:from>
    <xdr:to>
      <xdr:col>37</xdr:col>
      <xdr:colOff>582706</xdr:colOff>
      <xdr:row>118</xdr:row>
      <xdr:rowOff>105055</xdr:rowOff>
    </xdr:to>
    <xdr:graphicFrame macro="">
      <xdr:nvGraphicFramePr>
        <xdr:cNvPr id="43" name="1 Gráfico">
          <a:extLst>
            <a:ext uri="{FF2B5EF4-FFF2-40B4-BE49-F238E27FC236}">
              <a16:creationId xmlns:a16="http://schemas.microsoft.com/office/drawing/2014/main" id="{00000000-0008-0000-37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38</xdr:col>
      <xdr:colOff>0</xdr:colOff>
      <xdr:row>104</xdr:row>
      <xdr:rowOff>0</xdr:rowOff>
    </xdr:from>
    <xdr:to>
      <xdr:col>44</xdr:col>
      <xdr:colOff>582706</xdr:colOff>
      <xdr:row>118</xdr:row>
      <xdr:rowOff>105055</xdr:rowOff>
    </xdr:to>
    <xdr:graphicFrame macro="">
      <xdr:nvGraphicFramePr>
        <xdr:cNvPr id="44" name="1 Gráfico">
          <a:extLst>
            <a:ext uri="{FF2B5EF4-FFF2-40B4-BE49-F238E27FC236}">
              <a16:creationId xmlns:a16="http://schemas.microsoft.com/office/drawing/2014/main" id="{00000000-0008-0000-37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16</xdr:col>
      <xdr:colOff>761999</xdr:colOff>
      <xdr:row>125</xdr:row>
      <xdr:rowOff>40822</xdr:rowOff>
    </xdr:from>
    <xdr:to>
      <xdr:col>24</xdr:col>
      <xdr:colOff>272142</xdr:colOff>
      <xdr:row>140</xdr:row>
      <xdr:rowOff>68036</xdr:rowOff>
    </xdr:to>
    <xdr:graphicFrame macro="">
      <xdr:nvGraphicFramePr>
        <xdr:cNvPr id="45" name="Gráfico 44">
          <a:extLst>
            <a:ext uri="{FF2B5EF4-FFF2-40B4-BE49-F238E27FC236}">
              <a16:creationId xmlns:a16="http://schemas.microsoft.com/office/drawing/2014/main" id="{00000000-0008-0000-37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24</xdr:col>
      <xdr:colOff>680357</xdr:colOff>
      <xdr:row>124</xdr:row>
      <xdr:rowOff>136071</xdr:rowOff>
    </xdr:from>
    <xdr:to>
      <xdr:col>32</xdr:col>
      <xdr:colOff>421821</xdr:colOff>
      <xdr:row>140</xdr:row>
      <xdr:rowOff>144235</xdr:rowOff>
    </xdr:to>
    <xdr:graphicFrame macro="">
      <xdr:nvGraphicFramePr>
        <xdr:cNvPr id="46" name="Gráfico 45">
          <a:extLst>
            <a:ext uri="{FF2B5EF4-FFF2-40B4-BE49-F238E27FC236}">
              <a16:creationId xmlns:a16="http://schemas.microsoft.com/office/drawing/2014/main" id="{00000000-0008-0000-37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33</xdr:col>
      <xdr:colOff>122464</xdr:colOff>
      <xdr:row>124</xdr:row>
      <xdr:rowOff>136071</xdr:rowOff>
    </xdr:from>
    <xdr:to>
      <xdr:col>42</xdr:col>
      <xdr:colOff>163286</xdr:colOff>
      <xdr:row>140</xdr:row>
      <xdr:rowOff>81642</xdr:rowOff>
    </xdr:to>
    <xdr:graphicFrame macro="">
      <xdr:nvGraphicFramePr>
        <xdr:cNvPr id="47" name="Gráfico 46">
          <a:extLst>
            <a:ext uri="{FF2B5EF4-FFF2-40B4-BE49-F238E27FC236}">
              <a16:creationId xmlns:a16="http://schemas.microsoft.com/office/drawing/2014/main" id="{00000000-0008-0000-37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42</xdr:col>
      <xdr:colOff>557894</xdr:colOff>
      <xdr:row>124</xdr:row>
      <xdr:rowOff>108858</xdr:rowOff>
    </xdr:from>
    <xdr:to>
      <xdr:col>50</xdr:col>
      <xdr:colOff>449036</xdr:colOff>
      <xdr:row>140</xdr:row>
      <xdr:rowOff>95252</xdr:rowOff>
    </xdr:to>
    <xdr:graphicFrame macro="">
      <xdr:nvGraphicFramePr>
        <xdr:cNvPr id="48" name="Gráfico 47">
          <a:extLst>
            <a:ext uri="{FF2B5EF4-FFF2-40B4-BE49-F238E27FC236}">
              <a16:creationId xmlns:a16="http://schemas.microsoft.com/office/drawing/2014/main" id="{00000000-0008-0000-37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17</xdr:col>
      <xdr:colOff>0</xdr:colOff>
      <xdr:row>147</xdr:row>
      <xdr:rowOff>27215</xdr:rowOff>
    </xdr:from>
    <xdr:to>
      <xdr:col>24</xdr:col>
      <xdr:colOff>449036</xdr:colOff>
      <xdr:row>165</xdr:row>
      <xdr:rowOff>47625</xdr:rowOff>
    </xdr:to>
    <xdr:graphicFrame macro="">
      <xdr:nvGraphicFramePr>
        <xdr:cNvPr id="49" name="Gráfico 48">
          <a:extLst>
            <a:ext uri="{FF2B5EF4-FFF2-40B4-BE49-F238E27FC236}">
              <a16:creationId xmlns:a16="http://schemas.microsoft.com/office/drawing/2014/main" id="{00000000-0008-0000-37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25</xdr:col>
      <xdr:colOff>299357</xdr:colOff>
      <xdr:row>146</xdr:row>
      <xdr:rowOff>176893</xdr:rowOff>
    </xdr:from>
    <xdr:to>
      <xdr:col>33</xdr:col>
      <xdr:colOff>258536</xdr:colOff>
      <xdr:row>165</xdr:row>
      <xdr:rowOff>88447</xdr:rowOff>
    </xdr:to>
    <xdr:graphicFrame macro="">
      <xdr:nvGraphicFramePr>
        <xdr:cNvPr id="50" name="Gráfico 49">
          <a:extLst>
            <a:ext uri="{FF2B5EF4-FFF2-40B4-BE49-F238E27FC236}">
              <a16:creationId xmlns:a16="http://schemas.microsoft.com/office/drawing/2014/main" id="{00000000-0008-0000-37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33</xdr:col>
      <xdr:colOff>666750</xdr:colOff>
      <xdr:row>147</xdr:row>
      <xdr:rowOff>13607</xdr:rowOff>
    </xdr:from>
    <xdr:to>
      <xdr:col>41</xdr:col>
      <xdr:colOff>326571</xdr:colOff>
      <xdr:row>165</xdr:row>
      <xdr:rowOff>115661</xdr:rowOff>
    </xdr:to>
    <xdr:graphicFrame macro="">
      <xdr:nvGraphicFramePr>
        <xdr:cNvPr id="51" name="Gráfico 50">
          <a:extLst>
            <a:ext uri="{FF2B5EF4-FFF2-40B4-BE49-F238E27FC236}">
              <a16:creationId xmlns:a16="http://schemas.microsoft.com/office/drawing/2014/main" id="{00000000-0008-0000-37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42</xdr:col>
      <xdr:colOff>312965</xdr:colOff>
      <xdr:row>146</xdr:row>
      <xdr:rowOff>68036</xdr:rowOff>
    </xdr:from>
    <xdr:to>
      <xdr:col>50</xdr:col>
      <xdr:colOff>95250</xdr:colOff>
      <xdr:row>165</xdr:row>
      <xdr:rowOff>102054</xdr:rowOff>
    </xdr:to>
    <xdr:graphicFrame macro="">
      <xdr:nvGraphicFramePr>
        <xdr:cNvPr id="52" name="Gráfico 51">
          <a:extLst>
            <a:ext uri="{FF2B5EF4-FFF2-40B4-BE49-F238E27FC236}">
              <a16:creationId xmlns:a16="http://schemas.microsoft.com/office/drawing/2014/main" id="{00000000-0008-0000-37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15</xdr:col>
      <xdr:colOff>0</xdr:colOff>
      <xdr:row>167</xdr:row>
      <xdr:rowOff>68035</xdr:rowOff>
    </xdr:from>
    <xdr:to>
      <xdr:col>23</xdr:col>
      <xdr:colOff>122464</xdr:colOff>
      <xdr:row>186</xdr:row>
      <xdr:rowOff>156561</xdr:rowOff>
    </xdr:to>
    <xdr:graphicFrame macro="">
      <xdr:nvGraphicFramePr>
        <xdr:cNvPr id="54" name="Gráfico 53">
          <a:extLst>
            <a:ext uri="{FF2B5EF4-FFF2-40B4-BE49-F238E27FC236}">
              <a16:creationId xmlns:a16="http://schemas.microsoft.com/office/drawing/2014/main" id="{00000000-0008-0000-3700-00003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23</xdr:col>
      <xdr:colOff>408214</xdr:colOff>
      <xdr:row>167</xdr:row>
      <xdr:rowOff>108857</xdr:rowOff>
    </xdr:from>
    <xdr:to>
      <xdr:col>31</xdr:col>
      <xdr:colOff>519474</xdr:colOff>
      <xdr:row>187</xdr:row>
      <xdr:rowOff>6883</xdr:rowOff>
    </xdr:to>
    <xdr:graphicFrame macro="">
      <xdr:nvGraphicFramePr>
        <xdr:cNvPr id="55" name="Gráfico 54">
          <a:extLst>
            <a:ext uri="{FF2B5EF4-FFF2-40B4-BE49-F238E27FC236}">
              <a16:creationId xmlns:a16="http://schemas.microsoft.com/office/drawing/2014/main" id="{00000000-0008-0000-37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32</xdr:col>
      <xdr:colOff>0</xdr:colOff>
      <xdr:row>167</xdr:row>
      <xdr:rowOff>0</xdr:rowOff>
    </xdr:from>
    <xdr:to>
      <xdr:col>40</xdr:col>
      <xdr:colOff>111260</xdr:colOff>
      <xdr:row>186</xdr:row>
      <xdr:rowOff>88526</xdr:rowOff>
    </xdr:to>
    <xdr:graphicFrame macro="">
      <xdr:nvGraphicFramePr>
        <xdr:cNvPr id="56" name="Gráfico 55">
          <a:extLst>
            <a:ext uri="{FF2B5EF4-FFF2-40B4-BE49-F238E27FC236}">
              <a16:creationId xmlns:a16="http://schemas.microsoft.com/office/drawing/2014/main" id="{00000000-0008-0000-3700-00003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41</xdr:col>
      <xdr:colOff>0</xdr:colOff>
      <xdr:row>167</xdr:row>
      <xdr:rowOff>0</xdr:rowOff>
    </xdr:from>
    <xdr:to>
      <xdr:col>49</xdr:col>
      <xdr:colOff>111260</xdr:colOff>
      <xdr:row>186</xdr:row>
      <xdr:rowOff>88526</xdr:rowOff>
    </xdr:to>
    <xdr:graphicFrame macro="">
      <xdr:nvGraphicFramePr>
        <xdr:cNvPr id="57" name="Gráfico 56">
          <a:extLst>
            <a:ext uri="{FF2B5EF4-FFF2-40B4-BE49-F238E27FC236}">
              <a16:creationId xmlns:a16="http://schemas.microsoft.com/office/drawing/2014/main" id="{00000000-0008-0000-3700-00003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3</xdr:col>
      <xdr:colOff>0</xdr:colOff>
      <xdr:row>189</xdr:row>
      <xdr:rowOff>0</xdr:rowOff>
    </xdr:from>
    <xdr:to>
      <xdr:col>15</xdr:col>
      <xdr:colOff>285750</xdr:colOff>
      <xdr:row>209</xdr:row>
      <xdr:rowOff>95250</xdr:rowOff>
    </xdr:to>
    <xdr:graphicFrame macro="">
      <xdr:nvGraphicFramePr>
        <xdr:cNvPr id="41" name="Gráfico 5">
          <a:extLst>
            <a:ext uri="{FF2B5EF4-FFF2-40B4-BE49-F238E27FC236}">
              <a16:creationId xmlns:a16="http://schemas.microsoft.com/office/drawing/2014/main" id="{00000000-0008-0000-37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895350</xdr:colOff>
      <xdr:row>34</xdr:row>
      <xdr:rowOff>138112</xdr:rowOff>
    </xdr:from>
    <xdr:to>
      <xdr:col>8</xdr:col>
      <xdr:colOff>666750</xdr:colOff>
      <xdr:row>54</xdr:row>
      <xdr:rowOff>23812</xdr:rowOff>
    </xdr:to>
    <xdr:graphicFrame macro="">
      <xdr:nvGraphicFramePr>
        <xdr:cNvPr id="2" name="1 Gráfico">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21</xdr:col>
      <xdr:colOff>74008</xdr:colOff>
      <xdr:row>6</xdr:row>
      <xdr:rowOff>129424</xdr:rowOff>
    </xdr:from>
    <xdr:to>
      <xdr:col>32</xdr:col>
      <xdr:colOff>102582</xdr:colOff>
      <xdr:row>25</xdr:row>
      <xdr:rowOff>73313</xdr:rowOff>
    </xdr:to>
    <xdr:graphicFrame macro="">
      <xdr:nvGraphicFramePr>
        <xdr:cNvPr id="52" name="1 Gráfico">
          <a:extLst>
            <a:ext uri="{FF2B5EF4-FFF2-40B4-BE49-F238E27FC236}">
              <a16:creationId xmlns:a16="http://schemas.microsoft.com/office/drawing/2014/main" id="{00000000-0008-0000-1F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64994</xdr:colOff>
      <xdr:row>26</xdr:row>
      <xdr:rowOff>86285</xdr:rowOff>
    </xdr:from>
    <xdr:to>
      <xdr:col>32</xdr:col>
      <xdr:colOff>122144</xdr:colOff>
      <xdr:row>45</xdr:row>
      <xdr:rowOff>18154</xdr:rowOff>
    </xdr:to>
    <xdr:graphicFrame macro="">
      <xdr:nvGraphicFramePr>
        <xdr:cNvPr id="54" name="1 Gráfico">
          <a:extLst>
            <a:ext uri="{FF2B5EF4-FFF2-40B4-BE49-F238E27FC236}">
              <a16:creationId xmlns:a16="http://schemas.microsoft.com/office/drawing/2014/main" id="{00000000-0008-0000-1F00-00003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299428</xdr:colOff>
      <xdr:row>3</xdr:row>
      <xdr:rowOff>62298</xdr:rowOff>
    </xdr:from>
    <xdr:to>
      <xdr:col>26</xdr:col>
      <xdr:colOff>139408</xdr:colOff>
      <xdr:row>24</xdr:row>
      <xdr:rowOff>123669</xdr:rowOff>
    </xdr:to>
    <xdr:graphicFrame macro="">
      <xdr:nvGraphicFramePr>
        <xdr:cNvPr id="25" name="5 Gráfico">
          <a:extLst>
            <a:ext uri="{FF2B5EF4-FFF2-40B4-BE49-F238E27FC236}">
              <a16:creationId xmlns:a16="http://schemas.microsoft.com/office/drawing/2014/main" id="{00000000-0008-0000-2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205740</xdr:colOff>
      <xdr:row>26</xdr:row>
      <xdr:rowOff>60960</xdr:rowOff>
    </xdr:from>
    <xdr:to>
      <xdr:col>26</xdr:col>
      <xdr:colOff>45720</xdr:colOff>
      <xdr:row>47</xdr:row>
      <xdr:rowOff>122331</xdr:rowOff>
    </xdr:to>
    <xdr:graphicFrame macro="">
      <xdr:nvGraphicFramePr>
        <xdr:cNvPr id="17" name="5 Gráfico">
          <a:extLst>
            <a:ext uri="{FF2B5EF4-FFF2-40B4-BE49-F238E27FC236}">
              <a16:creationId xmlns:a16="http://schemas.microsoft.com/office/drawing/2014/main" id="{A1D6BB4F-F2E1-4C50-A2EC-DDDDEF59E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152400</xdr:colOff>
      <xdr:row>1</xdr:row>
      <xdr:rowOff>57150</xdr:rowOff>
    </xdr:from>
    <xdr:to>
      <xdr:col>11</xdr:col>
      <xdr:colOff>350520</xdr:colOff>
      <xdr:row>16</xdr:row>
      <xdr:rowOff>57150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333375</xdr:colOff>
      <xdr:row>4</xdr:row>
      <xdr:rowOff>33337</xdr:rowOff>
    </xdr:from>
    <xdr:to>
      <xdr:col>15</xdr:col>
      <xdr:colOff>246975</xdr:colOff>
      <xdr:row>21</xdr:row>
      <xdr:rowOff>34837</xdr:rowOff>
    </xdr:to>
    <xdr:graphicFrame macro="">
      <xdr:nvGraphicFramePr>
        <xdr:cNvPr id="2" name="Gráfico 1">
          <a:extLst>
            <a:ext uri="{FF2B5EF4-FFF2-40B4-BE49-F238E27FC236}">
              <a16:creationId xmlns:a16="http://schemas.microsoft.com/office/drawing/2014/main" id="{83B43713-DBC0-4341-ABFC-B1A7D8E391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2</xdr:row>
      <xdr:rowOff>176212</xdr:rowOff>
    </xdr:from>
    <xdr:to>
      <xdr:col>14</xdr:col>
      <xdr:colOff>523200</xdr:colOff>
      <xdr:row>19</xdr:row>
      <xdr:rowOff>177712</xdr:rowOff>
    </xdr:to>
    <xdr:graphicFrame macro="">
      <xdr:nvGraphicFramePr>
        <xdr:cNvPr id="2" name="Gráfico 1">
          <a:extLst>
            <a:ext uri="{FF2B5EF4-FFF2-40B4-BE49-F238E27FC236}">
              <a16:creationId xmlns:a16="http://schemas.microsoft.com/office/drawing/2014/main" id="{405A050A-B5F5-46BE-B5B8-0DCC01645D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158115</xdr:colOff>
      <xdr:row>1</xdr:row>
      <xdr:rowOff>88582</xdr:rowOff>
    </xdr:from>
    <xdr:to>
      <xdr:col>15</xdr:col>
      <xdr:colOff>71715</xdr:colOff>
      <xdr:row>18</xdr:row>
      <xdr:rowOff>90082</xdr:rowOff>
    </xdr:to>
    <xdr:graphicFrame macro="">
      <xdr:nvGraphicFramePr>
        <xdr:cNvPr id="2" name="Gráfico 1">
          <a:extLst>
            <a:ext uri="{FF2B5EF4-FFF2-40B4-BE49-F238E27FC236}">
              <a16:creationId xmlns:a16="http://schemas.microsoft.com/office/drawing/2014/main" id="{C24D25B2-17AF-4C0E-BD0E-6AA0F44CC0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dor/Downloads/Bonos%20-%20D&#233;ficit%20-%20FMI-mensual%20ene95%20a%20nov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elipeGSoley/Documents/Felipe/PhD%20Southampton/E:/Users/mlopezm/Documents/LOUR96/fiscal/ObligadoFMI-con%20binacional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mlopezm\Documents\LOUR96\fiscal\ObligadoFMI-con%2520binacion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éficit ó superávit"/>
      <sheetName val="Mozart Reports"/>
      <sheetName val="bonos"/>
      <sheetName val="Hoja1"/>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SCALMH"/>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SCALMH"/>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6.x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7.xml"/><Relationship Id="rId1" Type="http://schemas.openxmlformats.org/officeDocument/2006/relationships/printerSettings" Target="../printerSettings/printerSettings13.bin"/><Relationship Id="rId4" Type="http://schemas.openxmlformats.org/officeDocument/2006/relationships/comments" Target="../comments5.xml"/></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8.xml"/><Relationship Id="rId1" Type="http://schemas.openxmlformats.org/officeDocument/2006/relationships/printerSettings" Target="../printerSettings/printerSettings14.bin"/><Relationship Id="rId4" Type="http://schemas.openxmlformats.org/officeDocument/2006/relationships/comments" Target="../comments6.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7.bin"/></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5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22.xml"/></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26.xml"/></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Y205"/>
  <sheetViews>
    <sheetView zoomScale="81" zoomScaleNormal="81" zoomScalePageLayoutView="81" workbookViewId="0"/>
  </sheetViews>
  <sheetFormatPr defaultColWidth="11.44140625" defaultRowHeight="12"/>
  <cols>
    <col min="1" max="2" width="11.44140625" style="298"/>
    <col min="3" max="10" width="16.109375" style="298" customWidth="1"/>
    <col min="11" max="20" width="11.44140625" style="297"/>
    <col min="21" max="16384" width="11.44140625" style="298"/>
  </cols>
  <sheetData>
    <row r="2" spans="2:10" ht="26.4">
      <c r="B2" s="330"/>
      <c r="C2" s="412" t="s">
        <v>583</v>
      </c>
      <c r="D2" s="342"/>
      <c r="E2" s="342"/>
      <c r="F2" s="342"/>
      <c r="G2" s="342"/>
      <c r="H2" s="342"/>
      <c r="I2" s="412" t="s">
        <v>583</v>
      </c>
      <c r="J2" s="297"/>
    </row>
    <row r="3" spans="2:10" ht="41.1" customHeight="1">
      <c r="B3" s="420" t="s">
        <v>563</v>
      </c>
      <c r="C3" s="412" t="s">
        <v>584</v>
      </c>
      <c r="D3" s="421"/>
      <c r="E3" s="421"/>
      <c r="F3" s="421"/>
      <c r="G3" s="421"/>
      <c r="H3" s="421"/>
      <c r="I3" s="419" t="s">
        <v>519</v>
      </c>
      <c r="J3" s="422">
        <v>0.02</v>
      </c>
    </row>
    <row r="4" spans="2:10">
      <c r="B4" s="331">
        <v>1960</v>
      </c>
      <c r="C4" s="299">
        <v>612.61453505692725</v>
      </c>
      <c r="D4" s="299">
        <v>612.61453505692702</v>
      </c>
      <c r="E4" s="328">
        <f t="shared" ref="E4:E35" si="0">+C4/$C$4*100</f>
        <v>100</v>
      </c>
      <c r="F4" s="328">
        <f t="shared" ref="F4:F35" si="1">+D4/$D$4*100</f>
        <v>100</v>
      </c>
      <c r="G4" s="374">
        <f>+LOG(E4,2)</f>
        <v>6.6438561897747253</v>
      </c>
      <c r="H4" s="374">
        <f>+LOG(F4,2)</f>
        <v>6.6438561897747253</v>
      </c>
      <c r="I4" s="341"/>
      <c r="J4" s="341">
        <f t="shared" ref="J4:J35" si="2">+C4/(1+$J$3)^(B4-$B$4)</f>
        <v>612.61453505692725</v>
      </c>
    </row>
    <row r="5" spans="2:10">
      <c r="B5" s="331">
        <v>1961</v>
      </c>
      <c r="C5" s="299">
        <v>637.78859353482676</v>
      </c>
      <c r="D5" s="299">
        <f t="shared" ref="D5:D36" si="3">+D4*(1+J$3)</f>
        <v>624.8668257580656</v>
      </c>
      <c r="E5" s="328">
        <f t="shared" si="0"/>
        <v>104.10928194440574</v>
      </c>
      <c r="F5" s="328">
        <f t="shared" si="1"/>
        <v>102</v>
      </c>
      <c r="G5" s="374">
        <f t="shared" ref="G5:G36" si="4">+LOG(E5,2)</f>
        <v>6.7019548887502198</v>
      </c>
      <c r="H5" s="374">
        <f t="shared" ref="H5:H61" si="5">+LOG(F5,2)</f>
        <v>6.6724253419714952</v>
      </c>
      <c r="I5" s="341">
        <f t="shared" ref="I5:I36" si="6">+C5/C4*100-100</f>
        <v>4.1092819444057369</v>
      </c>
      <c r="J5" s="341">
        <f t="shared" si="2"/>
        <v>625.28293483806544</v>
      </c>
    </row>
    <row r="6" spans="2:10">
      <c r="B6" s="331">
        <v>1962</v>
      </c>
      <c r="C6" s="299">
        <v>641.56367306755897</v>
      </c>
      <c r="D6" s="299">
        <f t="shared" si="3"/>
        <v>637.36416227322695</v>
      </c>
      <c r="E6" s="328">
        <f t="shared" si="0"/>
        <v>104.72550622847068</v>
      </c>
      <c r="F6" s="328">
        <f t="shared" si="1"/>
        <v>104.04000000000002</v>
      </c>
      <c r="G6" s="374">
        <f t="shared" si="4"/>
        <v>6.7104690477823512</v>
      </c>
      <c r="H6" s="374">
        <f t="shared" si="5"/>
        <v>6.7009944941682678</v>
      </c>
      <c r="I6" s="341">
        <f t="shared" si="6"/>
        <v>0.59190138723074881</v>
      </c>
      <c r="J6" s="341">
        <f t="shared" si="2"/>
        <v>616.65097372891091</v>
      </c>
    </row>
    <row r="7" spans="2:10">
      <c r="B7" s="331">
        <v>1963</v>
      </c>
      <c r="C7" s="299">
        <v>654.13602397614477</v>
      </c>
      <c r="D7" s="299">
        <f t="shared" si="3"/>
        <v>650.11144551869154</v>
      </c>
      <c r="E7" s="328">
        <f t="shared" si="0"/>
        <v>106.77775118661836</v>
      </c>
      <c r="F7" s="328">
        <f t="shared" si="1"/>
        <v>106.12080000000002</v>
      </c>
      <c r="G7" s="374">
        <f t="shared" si="4"/>
        <v>6.7384672600531372</v>
      </c>
      <c r="H7" s="374">
        <f t="shared" si="5"/>
        <v>6.7295636463650386</v>
      </c>
      <c r="I7" s="341">
        <f t="shared" si="6"/>
        <v>1.9596419554855231</v>
      </c>
      <c r="J7" s="341">
        <f t="shared" si="2"/>
        <v>616.40698522452226</v>
      </c>
    </row>
    <row r="8" spans="2:10">
      <c r="B8" s="331">
        <v>1964</v>
      </c>
      <c r="C8" s="299">
        <v>663.7858578737513</v>
      </c>
      <c r="D8" s="299">
        <f t="shared" si="3"/>
        <v>663.11367442906533</v>
      </c>
      <c r="E8" s="328">
        <f t="shared" si="0"/>
        <v>108.35293971796946</v>
      </c>
      <c r="F8" s="328">
        <f t="shared" si="1"/>
        <v>108.24321600000002</v>
      </c>
      <c r="G8" s="374">
        <f t="shared" si="4"/>
        <v>6.7595944854213812</v>
      </c>
      <c r="H8" s="374">
        <f t="shared" si="5"/>
        <v>6.7581327985618085</v>
      </c>
      <c r="I8" s="341">
        <f t="shared" si="6"/>
        <v>1.4752029461625256</v>
      </c>
      <c r="J8" s="341">
        <f t="shared" si="2"/>
        <v>613.23552865775105</v>
      </c>
    </row>
    <row r="9" spans="2:10">
      <c r="B9" s="331">
        <v>1965</v>
      </c>
      <c r="C9" s="299">
        <v>686.25345734364998</v>
      </c>
      <c r="D9" s="299">
        <f t="shared" si="3"/>
        <v>676.37594791764661</v>
      </c>
      <c r="E9" s="328">
        <f t="shared" si="0"/>
        <v>112.02043341656591</v>
      </c>
      <c r="F9" s="328">
        <f t="shared" si="1"/>
        <v>110.40808032</v>
      </c>
      <c r="G9" s="374">
        <f t="shared" si="4"/>
        <v>6.8076181050930114</v>
      </c>
      <c r="H9" s="374">
        <f t="shared" si="5"/>
        <v>6.7867019507585793</v>
      </c>
      <c r="I9" s="341">
        <f t="shared" si="6"/>
        <v>3.3847662169042394</v>
      </c>
      <c r="J9" s="341">
        <f t="shared" si="2"/>
        <v>621.56089966844377</v>
      </c>
    </row>
    <row r="10" spans="2:10">
      <c r="B10" s="331">
        <v>1966</v>
      </c>
      <c r="C10" s="299">
        <v>681.50914688363707</v>
      </c>
      <c r="D10" s="299">
        <f t="shared" si="3"/>
        <v>689.90346687599958</v>
      </c>
      <c r="E10" s="328">
        <f t="shared" si="0"/>
        <v>111.2459969335053</v>
      </c>
      <c r="F10" s="328">
        <f t="shared" si="1"/>
        <v>112.61624192640001</v>
      </c>
      <c r="G10" s="374">
        <f t="shared" si="4"/>
        <v>6.7976096129720869</v>
      </c>
      <c r="H10" s="374">
        <f t="shared" si="5"/>
        <v>6.8152711029553501</v>
      </c>
      <c r="I10" s="341">
        <f t="shared" si="6"/>
        <v>-0.6913350175862405</v>
      </c>
      <c r="J10" s="341">
        <f t="shared" si="2"/>
        <v>605.16061913079579</v>
      </c>
    </row>
    <row r="11" spans="2:10">
      <c r="B11" s="331">
        <v>1967</v>
      </c>
      <c r="C11" s="299">
        <v>724.23957920015425</v>
      </c>
      <c r="D11" s="299">
        <f t="shared" si="3"/>
        <v>703.7015362135196</v>
      </c>
      <c r="E11" s="328">
        <f t="shared" si="0"/>
        <v>118.22108973187426</v>
      </c>
      <c r="F11" s="328">
        <f t="shared" si="1"/>
        <v>114.86856676492803</v>
      </c>
      <c r="G11" s="374">
        <f t="shared" si="4"/>
        <v>6.8853436139326467</v>
      </c>
      <c r="H11" s="374">
        <f t="shared" si="5"/>
        <v>6.8438402551521209</v>
      </c>
      <c r="I11" s="341">
        <f t="shared" si="6"/>
        <v>6.2699719456315961</v>
      </c>
      <c r="J11" s="341">
        <f t="shared" si="2"/>
        <v>630.49413742775209</v>
      </c>
    </row>
    <row r="12" spans="2:10">
      <c r="B12" s="331">
        <v>1968</v>
      </c>
      <c r="C12" s="299">
        <v>737.16967286265958</v>
      </c>
      <c r="D12" s="299">
        <f t="shared" si="3"/>
        <v>717.77556693779002</v>
      </c>
      <c r="E12" s="328">
        <f t="shared" si="0"/>
        <v>120.33173075042336</v>
      </c>
      <c r="F12" s="328">
        <f t="shared" si="1"/>
        <v>117.1659381002266</v>
      </c>
      <c r="G12" s="374">
        <f t="shared" si="4"/>
        <v>6.9108733124224191</v>
      </c>
      <c r="H12" s="374">
        <f t="shared" si="5"/>
        <v>6.8724094073488917</v>
      </c>
      <c r="I12" s="341">
        <f t="shared" si="6"/>
        <v>1.7853337533396427</v>
      </c>
      <c r="J12" s="341">
        <f t="shared" si="2"/>
        <v>629.16721772164442</v>
      </c>
    </row>
    <row r="13" spans="2:10">
      <c r="B13" s="331">
        <v>1969</v>
      </c>
      <c r="C13" s="299">
        <v>751.87308202493227</v>
      </c>
      <c r="D13" s="299">
        <f t="shared" si="3"/>
        <v>732.13107827654585</v>
      </c>
      <c r="E13" s="328">
        <f t="shared" si="0"/>
        <v>122.73183853776248</v>
      </c>
      <c r="F13" s="328">
        <f t="shared" si="1"/>
        <v>119.50925686223113</v>
      </c>
      <c r="G13" s="374">
        <f t="shared" si="4"/>
        <v>6.9393657447422861</v>
      </c>
      <c r="H13" s="374">
        <f t="shared" si="5"/>
        <v>6.9009785595456634</v>
      </c>
      <c r="I13" s="341">
        <f t="shared" si="6"/>
        <v>1.9945759712516065</v>
      </c>
      <c r="J13" s="341">
        <f t="shared" si="2"/>
        <v>629.13376065226737</v>
      </c>
    </row>
    <row r="14" spans="2:10">
      <c r="B14" s="331">
        <v>1970</v>
      </c>
      <c r="C14" s="299">
        <v>773.56931511234109</v>
      </c>
      <c r="D14" s="299">
        <f t="shared" si="3"/>
        <v>746.77369984207678</v>
      </c>
      <c r="E14" s="328">
        <f t="shared" si="0"/>
        <v>126.27341841317185</v>
      </c>
      <c r="F14" s="328">
        <f t="shared" si="1"/>
        <v>121.89944199947575</v>
      </c>
      <c r="G14" s="374">
        <f t="shared" si="4"/>
        <v>6.9804071617615149</v>
      </c>
      <c r="H14" s="374">
        <f t="shared" si="5"/>
        <v>6.9295477117424342</v>
      </c>
      <c r="I14" s="341">
        <f t="shared" si="6"/>
        <v>2.8856243967368727</v>
      </c>
      <c r="J14" s="341">
        <f t="shared" si="2"/>
        <v>634.59627248799734</v>
      </c>
    </row>
    <row r="15" spans="2:10">
      <c r="B15" s="331">
        <v>1971</v>
      </c>
      <c r="C15" s="299">
        <v>796.52185681420622</v>
      </c>
      <c r="D15" s="299">
        <f t="shared" si="3"/>
        <v>761.70917383891833</v>
      </c>
      <c r="E15" s="328">
        <f t="shared" si="0"/>
        <v>130.02007155122254</v>
      </c>
      <c r="F15" s="328">
        <f t="shared" si="1"/>
        <v>124.33743083946527</v>
      </c>
      <c r="G15" s="374">
        <f t="shared" si="4"/>
        <v>7.0225905429684667</v>
      </c>
      <c r="H15" s="374">
        <f t="shared" si="5"/>
        <v>6.958116863939205</v>
      </c>
      <c r="I15" s="341">
        <f t="shared" si="6"/>
        <v>2.9670956762978449</v>
      </c>
      <c r="J15" s="341">
        <f t="shared" si="2"/>
        <v>640.61308926562356</v>
      </c>
    </row>
    <row r="16" spans="2:10">
      <c r="B16" s="331">
        <v>1972</v>
      </c>
      <c r="C16" s="299">
        <v>829.27002013098763</v>
      </c>
      <c r="D16" s="299">
        <f t="shared" si="3"/>
        <v>776.94335731569674</v>
      </c>
      <c r="E16" s="328">
        <f t="shared" si="0"/>
        <v>135.36571084685863</v>
      </c>
      <c r="F16" s="328">
        <f t="shared" si="1"/>
        <v>126.82417945625457</v>
      </c>
      <c r="G16" s="374">
        <f t="shared" si="4"/>
        <v>7.0807185294551909</v>
      </c>
      <c r="H16" s="374">
        <f t="shared" si="5"/>
        <v>6.9866860161359758</v>
      </c>
      <c r="I16" s="341">
        <f t="shared" si="6"/>
        <v>4.1113954421492025</v>
      </c>
      <c r="J16" s="341">
        <f t="shared" si="2"/>
        <v>653.8737515877466</v>
      </c>
    </row>
    <row r="17" spans="2:25">
      <c r="B17" s="331">
        <v>1973</v>
      </c>
      <c r="C17" s="299">
        <v>868.95510833447395</v>
      </c>
      <c r="D17" s="299">
        <f t="shared" si="3"/>
        <v>792.48222446201066</v>
      </c>
      <c r="E17" s="328">
        <f t="shared" si="0"/>
        <v>141.84369756321996</v>
      </c>
      <c r="F17" s="328">
        <f t="shared" si="1"/>
        <v>129.36066304537968</v>
      </c>
      <c r="G17" s="374">
        <f t="shared" si="4"/>
        <v>7.148158239602469</v>
      </c>
      <c r="H17" s="374">
        <f t="shared" si="5"/>
        <v>7.0152551683327466</v>
      </c>
      <c r="I17" s="341">
        <f t="shared" si="6"/>
        <v>4.7855447851856212</v>
      </c>
      <c r="J17" s="341">
        <f t="shared" si="2"/>
        <v>671.73056157701149</v>
      </c>
    </row>
    <row r="18" spans="2:25">
      <c r="B18" s="331">
        <v>1974</v>
      </c>
      <c r="C18" s="299">
        <v>919.37795457761285</v>
      </c>
      <c r="D18" s="299">
        <f t="shared" si="3"/>
        <v>808.33186895125084</v>
      </c>
      <c r="E18" s="328">
        <f t="shared" si="0"/>
        <v>150.0744598709496</v>
      </c>
      <c r="F18" s="328">
        <f t="shared" si="1"/>
        <v>131.94787630628727</v>
      </c>
      <c r="G18" s="374">
        <f t="shared" si="4"/>
        <v>7.2295346653830146</v>
      </c>
      <c r="H18" s="374">
        <f t="shared" si="5"/>
        <v>7.0438243205295175</v>
      </c>
      <c r="I18" s="341">
        <f t="shared" si="6"/>
        <v>5.802698638803605</v>
      </c>
      <c r="J18" s="341">
        <f t="shared" si="2"/>
        <v>696.77358993143957</v>
      </c>
    </row>
    <row r="19" spans="2:25">
      <c r="B19" s="331">
        <v>1975</v>
      </c>
      <c r="C19" s="299">
        <v>958.22470428506779</v>
      </c>
      <c r="D19" s="299">
        <f t="shared" si="3"/>
        <v>824.49850633027586</v>
      </c>
      <c r="E19" s="328">
        <f t="shared" si="0"/>
        <v>156.41560058577858</v>
      </c>
      <c r="F19" s="328">
        <f t="shared" si="1"/>
        <v>134.58683383241302</v>
      </c>
      <c r="G19" s="374">
        <f t="shared" si="4"/>
        <v>7.2892406011751305</v>
      </c>
      <c r="H19" s="374">
        <f t="shared" si="5"/>
        <v>7.0723934727262892</v>
      </c>
      <c r="I19" s="341">
        <f t="shared" si="6"/>
        <v>4.2253296931947943</v>
      </c>
      <c r="J19" s="341">
        <f t="shared" si="2"/>
        <v>711.97506992269837</v>
      </c>
    </row>
    <row r="20" spans="2:25">
      <c r="B20" s="331">
        <v>1976</v>
      </c>
      <c r="C20" s="299">
        <v>1004.4782598885973</v>
      </c>
      <c r="D20" s="299">
        <f t="shared" si="3"/>
        <v>840.98847645688136</v>
      </c>
      <c r="E20" s="328">
        <f t="shared" si="0"/>
        <v>163.96578964540177</v>
      </c>
      <c r="F20" s="328">
        <f t="shared" si="1"/>
        <v>137.27857050906124</v>
      </c>
      <c r="G20" s="374">
        <f t="shared" si="4"/>
        <v>7.3572510274389815</v>
      </c>
      <c r="H20" s="374">
        <f t="shared" si="5"/>
        <v>7.10096262492306</v>
      </c>
      <c r="I20" s="341">
        <f t="shared" si="6"/>
        <v>4.827005126948734</v>
      </c>
      <c r="J20" s="341">
        <f t="shared" si="2"/>
        <v>731.70798338280758</v>
      </c>
    </row>
    <row r="21" spans="2:25">
      <c r="B21" s="331">
        <v>1977</v>
      </c>
      <c r="C21" s="299">
        <v>1091.6576868089121</v>
      </c>
      <c r="D21" s="299">
        <f t="shared" si="3"/>
        <v>857.80824598601896</v>
      </c>
      <c r="E21" s="328">
        <f t="shared" si="0"/>
        <v>178.19650438223275</v>
      </c>
      <c r="F21" s="328">
        <f t="shared" si="1"/>
        <v>140.02414191924248</v>
      </c>
      <c r="G21" s="374">
        <f t="shared" si="4"/>
        <v>7.4773252260740559</v>
      </c>
      <c r="H21" s="374">
        <f t="shared" si="5"/>
        <v>7.1295317771198308</v>
      </c>
      <c r="I21" s="341">
        <f t="shared" si="6"/>
        <v>8.6790755361876535</v>
      </c>
      <c r="J21" s="341">
        <f t="shared" si="2"/>
        <v>779.6210509459969</v>
      </c>
    </row>
    <row r="22" spans="2:25" ht="13.8">
      <c r="B22" s="331">
        <v>1978</v>
      </c>
      <c r="C22" s="299">
        <v>1191.5845750578715</v>
      </c>
      <c r="D22" s="299">
        <f t="shared" si="3"/>
        <v>874.96441090573933</v>
      </c>
      <c r="E22" s="328">
        <f t="shared" si="0"/>
        <v>194.50804818843278</v>
      </c>
      <c r="F22" s="328">
        <f t="shared" si="1"/>
        <v>142.8246247576273</v>
      </c>
      <c r="G22" s="374">
        <f t="shared" si="4"/>
        <v>7.603686040828455</v>
      </c>
      <c r="H22" s="374">
        <f t="shared" si="5"/>
        <v>7.1581009293166016</v>
      </c>
      <c r="I22" s="341">
        <f t="shared" si="6"/>
        <v>9.1536833804616293</v>
      </c>
      <c r="J22" s="341">
        <f t="shared" si="2"/>
        <v>834.29911129119716</v>
      </c>
      <c r="L22" s="387"/>
      <c r="M22" s="387"/>
      <c r="N22" s="387"/>
      <c r="O22" s="387"/>
    </row>
    <row r="23" spans="2:25">
      <c r="B23" s="331">
        <v>1979</v>
      </c>
      <c r="C23" s="299">
        <v>1297.854161672042</v>
      </c>
      <c r="D23" s="299">
        <f t="shared" si="3"/>
        <v>892.4636991238541</v>
      </c>
      <c r="E23" s="328">
        <f t="shared" si="0"/>
        <v>211.85494097874104</v>
      </c>
      <c r="F23" s="328">
        <f t="shared" si="1"/>
        <v>145.68111725277987</v>
      </c>
      <c r="G23" s="374">
        <f t="shared" si="4"/>
        <v>7.7269329660686985</v>
      </c>
      <c r="H23" s="374">
        <f t="shared" si="5"/>
        <v>7.1866700815133724</v>
      </c>
      <c r="I23" s="341">
        <f t="shared" si="6"/>
        <v>8.9183419153449108</v>
      </c>
      <c r="J23" s="341">
        <f t="shared" si="2"/>
        <v>890.88701826748036</v>
      </c>
    </row>
    <row r="24" spans="2:25">
      <c r="B24" s="331">
        <v>1980</v>
      </c>
      <c r="C24" s="299">
        <v>1410.4539528467105</v>
      </c>
      <c r="D24" s="299">
        <f t="shared" si="3"/>
        <v>910.31297310633124</v>
      </c>
      <c r="E24" s="328">
        <f t="shared" si="0"/>
        <v>230.23514332967042</v>
      </c>
      <c r="F24" s="328">
        <f t="shared" si="1"/>
        <v>148.59473959783546</v>
      </c>
      <c r="G24" s="374">
        <f t="shared" si="4"/>
        <v>7.8469642545120468</v>
      </c>
      <c r="H24" s="374">
        <f t="shared" si="5"/>
        <v>7.2152392337101441</v>
      </c>
      <c r="I24" s="341">
        <f t="shared" si="6"/>
        <v>8.675843133993169</v>
      </c>
      <c r="J24" s="341">
        <f t="shared" si="2"/>
        <v>949.19507693478045</v>
      </c>
    </row>
    <row r="25" spans="2:25">
      <c r="B25" s="331">
        <v>1981</v>
      </c>
      <c r="C25" s="299">
        <v>1496.2505081013578</v>
      </c>
      <c r="D25" s="299">
        <f t="shared" si="3"/>
        <v>928.51923256845794</v>
      </c>
      <c r="E25" s="328">
        <f t="shared" si="0"/>
        <v>244.2401253118029</v>
      </c>
      <c r="F25" s="328">
        <f t="shared" si="1"/>
        <v>151.5666343897922</v>
      </c>
      <c r="G25" s="374">
        <f t="shared" si="4"/>
        <v>7.9321564246329661</v>
      </c>
      <c r="H25" s="374">
        <f t="shared" si="5"/>
        <v>7.2438083859069149</v>
      </c>
      <c r="I25" s="341">
        <f t="shared" si="6"/>
        <v>6.0829036695231764</v>
      </c>
      <c r="J25" s="341">
        <f t="shared" si="2"/>
        <v>987.18990107899958</v>
      </c>
    </row>
    <row r="26" spans="2:25">
      <c r="B26" s="331">
        <v>1982</v>
      </c>
      <c r="C26" s="299">
        <v>1432.4118843656979</v>
      </c>
      <c r="D26" s="299">
        <f t="shared" si="3"/>
        <v>947.08961721982712</v>
      </c>
      <c r="E26" s="328">
        <f t="shared" si="0"/>
        <v>233.81944149147409</v>
      </c>
      <c r="F26" s="328">
        <f t="shared" si="1"/>
        <v>154.59796707758804</v>
      </c>
      <c r="G26" s="374">
        <f t="shared" si="4"/>
        <v>7.8692510810525027</v>
      </c>
      <c r="H26" s="374">
        <f t="shared" si="5"/>
        <v>7.2723775381036857</v>
      </c>
      <c r="I26" s="341">
        <f t="shared" si="6"/>
        <v>-4.2665732369018201</v>
      </c>
      <c r="J26" s="341">
        <f t="shared" si="2"/>
        <v>926.53992251192699</v>
      </c>
    </row>
    <row r="27" spans="2:25">
      <c r="B27" s="331">
        <v>1983</v>
      </c>
      <c r="C27" s="299">
        <v>1348.0616193307239</v>
      </c>
      <c r="D27" s="299">
        <f t="shared" si="3"/>
        <v>966.03140956422362</v>
      </c>
      <c r="E27" s="328">
        <f t="shared" si="0"/>
        <v>220.0505443778697</v>
      </c>
      <c r="F27" s="328">
        <f t="shared" si="1"/>
        <v>157.68992641913979</v>
      </c>
      <c r="G27" s="374">
        <f t="shared" si="4"/>
        <v>7.7816911305609509</v>
      </c>
      <c r="H27" s="374">
        <f t="shared" si="5"/>
        <v>7.3009466903004565</v>
      </c>
      <c r="I27" s="341">
        <f t="shared" si="6"/>
        <v>-5.8886878806039817</v>
      </c>
      <c r="J27" s="341">
        <f t="shared" si="2"/>
        <v>854.88125331961737</v>
      </c>
    </row>
    <row r="28" spans="2:25">
      <c r="B28" s="331">
        <v>1984</v>
      </c>
      <c r="C28" s="299">
        <v>1345.6760220365893</v>
      </c>
      <c r="D28" s="299">
        <f t="shared" si="3"/>
        <v>985.35203775550815</v>
      </c>
      <c r="E28" s="328">
        <f t="shared" si="0"/>
        <v>219.66113192393357</v>
      </c>
      <c r="F28" s="328">
        <f t="shared" si="1"/>
        <v>160.84372494752262</v>
      </c>
      <c r="G28" s="374">
        <f t="shared" si="4"/>
        <v>7.7791358035441487</v>
      </c>
      <c r="H28" s="374">
        <f t="shared" si="5"/>
        <v>7.3295158424972273</v>
      </c>
      <c r="I28" s="341">
        <f t="shared" si="6"/>
        <v>-0.17696500367090096</v>
      </c>
      <c r="J28" s="341">
        <f t="shared" si="2"/>
        <v>836.63569870421418</v>
      </c>
    </row>
    <row r="29" spans="2:25">
      <c r="B29" s="331">
        <v>1985</v>
      </c>
      <c r="C29" s="299">
        <v>1366.5460290067808</v>
      </c>
      <c r="D29" s="299">
        <f t="shared" si="3"/>
        <v>1005.0590785106183</v>
      </c>
      <c r="E29" s="328">
        <f t="shared" si="0"/>
        <v>223.06784295932425</v>
      </c>
      <c r="F29" s="328">
        <f t="shared" si="1"/>
        <v>164.06059944647305</v>
      </c>
      <c r="G29" s="374">
        <f t="shared" si="4"/>
        <v>7.8013387421425184</v>
      </c>
      <c r="H29" s="374">
        <f t="shared" si="5"/>
        <v>7.3580849946939972</v>
      </c>
      <c r="I29" s="341">
        <f t="shared" si="6"/>
        <v>1.5508938725538286</v>
      </c>
      <c r="J29" s="341">
        <f t="shared" si="2"/>
        <v>832.95199067746637</v>
      </c>
      <c r="Y29" s="293"/>
    </row>
    <row r="30" spans="2:25">
      <c r="B30" s="331">
        <v>1986</v>
      </c>
      <c r="C30" s="299">
        <v>1394.319527578826</v>
      </c>
      <c r="D30" s="299">
        <f t="shared" si="3"/>
        <v>1025.1602600808308</v>
      </c>
      <c r="E30" s="328">
        <f t="shared" si="0"/>
        <v>227.60144394048024</v>
      </c>
      <c r="F30" s="328">
        <f t="shared" si="1"/>
        <v>167.34181143540255</v>
      </c>
      <c r="G30" s="374">
        <f t="shared" si="4"/>
        <v>7.8303659001396158</v>
      </c>
      <c r="H30" s="374">
        <f t="shared" si="5"/>
        <v>7.3866541468907698</v>
      </c>
      <c r="I30" s="341">
        <f t="shared" si="6"/>
        <v>2.0323866143192646</v>
      </c>
      <c r="J30" s="341">
        <f t="shared" si="2"/>
        <v>833.21646611735378</v>
      </c>
    </row>
    <row r="31" spans="2:25">
      <c r="B31" s="331">
        <v>1987</v>
      </c>
      <c r="C31" s="299">
        <v>1458.4393310779001</v>
      </c>
      <c r="D31" s="299">
        <f t="shared" si="3"/>
        <v>1045.6634652824473</v>
      </c>
      <c r="E31" s="328">
        <f t="shared" si="0"/>
        <v>238.06802607815607</v>
      </c>
      <c r="F31" s="328">
        <f t="shared" si="1"/>
        <v>170.68864766411056</v>
      </c>
      <c r="G31" s="374">
        <f t="shared" si="4"/>
        <v>7.8952300610506985</v>
      </c>
      <c r="H31" s="374">
        <f t="shared" si="5"/>
        <v>7.4152232990875389</v>
      </c>
      <c r="I31" s="341">
        <f t="shared" si="6"/>
        <v>4.5986448752113063</v>
      </c>
      <c r="J31" s="341">
        <f t="shared" si="2"/>
        <v>854.44424748615324</v>
      </c>
    </row>
    <row r="32" spans="2:25">
      <c r="B32" s="331">
        <v>1988</v>
      </c>
      <c r="C32" s="299">
        <v>1502.5140568778841</v>
      </c>
      <c r="D32" s="299">
        <f t="shared" si="3"/>
        <v>1066.5767345880963</v>
      </c>
      <c r="E32" s="328">
        <f t="shared" si="0"/>
        <v>245.2625543300671</v>
      </c>
      <c r="F32" s="328">
        <f t="shared" si="1"/>
        <v>174.1024206173928</v>
      </c>
      <c r="G32" s="374">
        <f t="shared" si="4"/>
        <v>7.9381831757856718</v>
      </c>
      <c r="H32" s="374">
        <f t="shared" si="5"/>
        <v>7.4437924512843106</v>
      </c>
      <c r="I32" s="341">
        <f t="shared" si="6"/>
        <v>3.0220472570092767</v>
      </c>
      <c r="J32" s="341">
        <f t="shared" si="2"/>
        <v>863.00583963723716</v>
      </c>
    </row>
    <row r="33" spans="2:10">
      <c r="B33" s="331">
        <v>1989</v>
      </c>
      <c r="C33" s="299">
        <v>1563.7995969963843</v>
      </c>
      <c r="D33" s="299">
        <f t="shared" si="3"/>
        <v>1087.9082692798584</v>
      </c>
      <c r="E33" s="328">
        <f t="shared" si="0"/>
        <v>255.26648610305469</v>
      </c>
      <c r="F33" s="328">
        <f t="shared" si="1"/>
        <v>177.58446902974069</v>
      </c>
      <c r="G33" s="374">
        <f t="shared" si="4"/>
        <v>7.9958603287467884</v>
      </c>
      <c r="H33" s="374">
        <f t="shared" si="5"/>
        <v>7.4723616034810822</v>
      </c>
      <c r="I33" s="341">
        <f t="shared" si="6"/>
        <v>4.078866339916118</v>
      </c>
      <c r="J33" s="341">
        <f t="shared" si="2"/>
        <v>880.59479837422646</v>
      </c>
    </row>
    <row r="34" spans="2:10">
      <c r="B34" s="331">
        <v>1990</v>
      </c>
      <c r="C34" s="299">
        <v>1586.0491975588088</v>
      </c>
      <c r="D34" s="299">
        <f t="shared" si="3"/>
        <v>1109.6664346654557</v>
      </c>
      <c r="E34" s="328">
        <f t="shared" si="0"/>
        <v>258.89839479754187</v>
      </c>
      <c r="F34" s="328">
        <f t="shared" si="1"/>
        <v>181.1361584103355</v>
      </c>
      <c r="G34" s="374">
        <f t="shared" si="4"/>
        <v>8.0162422101506206</v>
      </c>
      <c r="H34" s="374">
        <f t="shared" si="5"/>
        <v>7.5009307556778531</v>
      </c>
      <c r="I34" s="341">
        <f t="shared" si="6"/>
        <v>1.4227910408187654</v>
      </c>
      <c r="J34" s="341">
        <f t="shared" si="2"/>
        <v>875.61159046216767</v>
      </c>
    </row>
    <row r="35" spans="2:10">
      <c r="B35" s="331">
        <v>1991</v>
      </c>
      <c r="C35" s="299">
        <v>1600.0373622357033</v>
      </c>
      <c r="D35" s="299">
        <f t="shared" si="3"/>
        <v>1131.8597633587649</v>
      </c>
      <c r="E35" s="328">
        <f t="shared" si="0"/>
        <v>261.18174980732698</v>
      </c>
      <c r="F35" s="328">
        <f t="shared" si="1"/>
        <v>184.75888157854223</v>
      </c>
      <c r="G35" s="374">
        <f t="shared" si="4"/>
        <v>8.0289102812136832</v>
      </c>
      <c r="H35" s="374">
        <f t="shared" si="5"/>
        <v>7.5294999078746239</v>
      </c>
      <c r="I35" s="341">
        <f t="shared" si="6"/>
        <v>0.88195023826654051</v>
      </c>
      <c r="J35" s="341">
        <f t="shared" si="2"/>
        <v>866.01377350052792</v>
      </c>
    </row>
    <row r="36" spans="2:10">
      <c r="B36" s="331">
        <v>1992</v>
      </c>
      <c r="C36" s="299">
        <v>1586.995145112842</v>
      </c>
      <c r="D36" s="299">
        <f t="shared" si="3"/>
        <v>1154.4969586259401</v>
      </c>
      <c r="E36" s="328">
        <f t="shared" ref="E36:E61" si="7">+C36/$C$4*100</f>
        <v>259.0528063401843</v>
      </c>
      <c r="F36" s="328">
        <f t="shared" ref="F36:F61" si="8">+D36/$D$4*100</f>
        <v>188.45405921011306</v>
      </c>
      <c r="G36" s="374">
        <f t="shared" si="4"/>
        <v>8.0171024022804431</v>
      </c>
      <c r="H36" s="374">
        <f t="shared" si="5"/>
        <v>7.5580690600713938</v>
      </c>
      <c r="I36" s="341">
        <f t="shared" si="6"/>
        <v>-0.81511953599869003</v>
      </c>
      <c r="J36" s="341">
        <f t="shared" ref="J36:J61" si="9">+C36/(1+$J$3)^(B36-$B$4)</f>
        <v>842.11247651792689</v>
      </c>
    </row>
    <row r="37" spans="2:10">
      <c r="B37" s="331">
        <v>1993</v>
      </c>
      <c r="C37" s="299">
        <v>1625.1460146233658</v>
      </c>
      <c r="D37" s="299">
        <f t="shared" ref="D37:D61" si="10">+D36*(1+J$3)</f>
        <v>1177.5868977984589</v>
      </c>
      <c r="E37" s="328">
        <f t="shared" si="7"/>
        <v>265.28035520285999</v>
      </c>
      <c r="F37" s="328">
        <f t="shared" si="8"/>
        <v>192.22314039431535</v>
      </c>
      <c r="G37" s="374">
        <f t="shared" ref="G37:G61" si="11">+LOG(E37,2)</f>
        <v>8.0513740334499975</v>
      </c>
      <c r="H37" s="374">
        <f t="shared" si="5"/>
        <v>7.5866382122681664</v>
      </c>
      <c r="I37" s="341">
        <f t="shared" ref="I37:I61" si="12">+C37/C36*100-100</f>
        <v>2.4039688859798645</v>
      </c>
      <c r="J37" s="341">
        <f t="shared" si="9"/>
        <v>845.44764552781601</v>
      </c>
    </row>
    <row r="38" spans="2:10">
      <c r="B38" s="331">
        <v>1994</v>
      </c>
      <c r="C38" s="299">
        <v>1671.2681402385726</v>
      </c>
      <c r="D38" s="299">
        <f t="shared" si="10"/>
        <v>1201.1386357544282</v>
      </c>
      <c r="E38" s="328">
        <f t="shared" si="7"/>
        <v>272.80909031700821</v>
      </c>
      <c r="F38" s="328">
        <f t="shared" si="8"/>
        <v>196.06760320220164</v>
      </c>
      <c r="G38" s="374">
        <f t="shared" si="11"/>
        <v>8.0917479072188083</v>
      </c>
      <c r="H38" s="374">
        <f t="shared" si="5"/>
        <v>7.6152073644649363</v>
      </c>
      <c r="I38" s="341">
        <f t="shared" si="12"/>
        <v>2.8380296416562913</v>
      </c>
      <c r="J38" s="341">
        <f t="shared" si="9"/>
        <v>852.39382383586337</v>
      </c>
    </row>
    <row r="39" spans="2:10">
      <c r="B39" s="331">
        <v>1995</v>
      </c>
      <c r="C39" s="299">
        <v>1744.3382776687267</v>
      </c>
      <c r="D39" s="299">
        <f t="shared" si="10"/>
        <v>1225.1614084695168</v>
      </c>
      <c r="E39" s="328">
        <f t="shared" si="7"/>
        <v>284.73667826158157</v>
      </c>
      <c r="F39" s="328">
        <f t="shared" si="8"/>
        <v>199.98895526624568</v>
      </c>
      <c r="G39" s="374">
        <f t="shared" si="11"/>
        <v>8.1534845351127068</v>
      </c>
      <c r="H39" s="374">
        <f t="shared" si="5"/>
        <v>7.6437765166617071</v>
      </c>
      <c r="I39" s="341">
        <f t="shared" si="12"/>
        <v>4.372137281317606</v>
      </c>
      <c r="J39" s="341">
        <f t="shared" si="9"/>
        <v>872.21730587396075</v>
      </c>
    </row>
    <row r="40" spans="2:10">
      <c r="B40" s="331">
        <v>1996</v>
      </c>
      <c r="C40" s="299">
        <v>1732.2161363113416</v>
      </c>
      <c r="D40" s="299">
        <f t="shared" si="10"/>
        <v>1249.6646366389073</v>
      </c>
      <c r="E40" s="328">
        <f t="shared" si="7"/>
        <v>282.75792316131958</v>
      </c>
      <c r="F40" s="328">
        <f t="shared" si="8"/>
        <v>203.98873437157064</v>
      </c>
      <c r="G40" s="374">
        <f t="shared" si="11"/>
        <v>8.14342364032189</v>
      </c>
      <c r="H40" s="374">
        <f t="shared" si="5"/>
        <v>7.6723456688584788</v>
      </c>
      <c r="I40" s="341">
        <f t="shared" si="12"/>
        <v>-0.69494211716698828</v>
      </c>
      <c r="J40" s="341">
        <f t="shared" si="9"/>
        <v>849.1724514335524</v>
      </c>
    </row>
    <row r="41" spans="2:10">
      <c r="B41" s="331">
        <v>1997</v>
      </c>
      <c r="C41" s="299">
        <v>1766.362048493306</v>
      </c>
      <c r="D41" s="299">
        <f t="shared" si="10"/>
        <v>1274.6579293716854</v>
      </c>
      <c r="E41" s="328">
        <f t="shared" si="7"/>
        <v>288.33172368807192</v>
      </c>
      <c r="F41" s="328">
        <f t="shared" si="8"/>
        <v>208.06850905900203</v>
      </c>
      <c r="G41" s="374">
        <f t="shared" si="11"/>
        <v>8.1715857678131556</v>
      </c>
      <c r="H41" s="374">
        <f t="shared" si="5"/>
        <v>7.7009148210552487</v>
      </c>
      <c r="I41" s="341">
        <f t="shared" si="12"/>
        <v>1.9712270002677741</v>
      </c>
      <c r="J41" s="341">
        <f t="shared" si="9"/>
        <v>848.93290987749629</v>
      </c>
    </row>
    <row r="42" spans="2:10">
      <c r="B42" s="331">
        <v>1998</v>
      </c>
      <c r="C42" s="299">
        <v>1729.9015132979464</v>
      </c>
      <c r="D42" s="299">
        <f t="shared" si="10"/>
        <v>1300.1510879591192</v>
      </c>
      <c r="E42" s="328">
        <f t="shared" si="7"/>
        <v>282.38009617861832</v>
      </c>
      <c r="F42" s="328">
        <f t="shared" si="8"/>
        <v>212.22987924018207</v>
      </c>
      <c r="G42" s="374">
        <f t="shared" si="11"/>
        <v>8.1414945922776383</v>
      </c>
      <c r="H42" s="374">
        <f t="shared" si="5"/>
        <v>7.7294839732520195</v>
      </c>
      <c r="I42" s="341">
        <f t="shared" si="12"/>
        <v>-2.0641597925215933</v>
      </c>
      <c r="J42" s="341">
        <f t="shared" si="9"/>
        <v>815.10742949639348</v>
      </c>
    </row>
    <row r="43" spans="2:10">
      <c r="B43" s="331">
        <v>1999</v>
      </c>
      <c r="C43" s="299">
        <v>1670.6307184699392</v>
      </c>
      <c r="D43" s="299">
        <f t="shared" si="10"/>
        <v>1326.1541097183017</v>
      </c>
      <c r="E43" s="328">
        <f t="shared" si="7"/>
        <v>272.7050409136466</v>
      </c>
      <c r="F43" s="328">
        <f t="shared" si="8"/>
        <v>216.47447682498574</v>
      </c>
      <c r="G43" s="374">
        <f t="shared" si="11"/>
        <v>8.0911975582857067</v>
      </c>
      <c r="H43" s="374">
        <f t="shared" si="5"/>
        <v>7.7580531254487912</v>
      </c>
      <c r="I43" s="341">
        <f t="shared" si="12"/>
        <v>-3.4262525567141324</v>
      </c>
      <c r="J43" s="341">
        <f t="shared" si="9"/>
        <v>771.744892503242</v>
      </c>
    </row>
    <row r="44" spans="2:10">
      <c r="B44" s="331">
        <v>2000</v>
      </c>
      <c r="C44" s="299">
        <v>1617.1659179629748</v>
      </c>
      <c r="D44" s="299">
        <f t="shared" si="10"/>
        <v>1352.6771919126677</v>
      </c>
      <c r="E44" s="328">
        <f t="shared" si="7"/>
        <v>263.97772586520489</v>
      </c>
      <c r="F44" s="328">
        <f t="shared" si="8"/>
        <v>220.80396636148544</v>
      </c>
      <c r="G44" s="374">
        <f t="shared" si="11"/>
        <v>8.0442723915572465</v>
      </c>
      <c r="H44" s="374">
        <f t="shared" si="5"/>
        <v>7.786622277645562</v>
      </c>
      <c r="I44" s="341">
        <f t="shared" si="12"/>
        <v>-3.2002763935725085</v>
      </c>
      <c r="J44" s="341">
        <f t="shared" si="9"/>
        <v>732.39894400966568</v>
      </c>
    </row>
    <row r="45" spans="2:10">
      <c r="B45" s="331">
        <v>2001</v>
      </c>
      <c r="C45" s="299">
        <v>1573.7419646897911</v>
      </c>
      <c r="D45" s="299">
        <f t="shared" si="10"/>
        <v>1379.730735750921</v>
      </c>
      <c r="E45" s="328">
        <f t="shared" si="7"/>
        <v>256.88942632475261</v>
      </c>
      <c r="F45" s="328">
        <f t="shared" si="8"/>
        <v>225.22004568871515</v>
      </c>
      <c r="G45" s="374">
        <f t="shared" si="11"/>
        <v>8.00500369930975</v>
      </c>
      <c r="H45" s="374">
        <f t="shared" si="5"/>
        <v>7.8151914298423328</v>
      </c>
      <c r="I45" s="341">
        <f t="shared" si="12"/>
        <v>-2.6851885011206349</v>
      </c>
      <c r="J45" s="341">
        <f t="shared" si="9"/>
        <v>698.75750174783252</v>
      </c>
    </row>
    <row r="46" spans="2:10">
      <c r="B46" s="331">
        <v>2002</v>
      </c>
      <c r="C46" s="299">
        <v>1544.8299312874801</v>
      </c>
      <c r="D46" s="299">
        <f t="shared" si="10"/>
        <v>1407.3253504659394</v>
      </c>
      <c r="E46" s="328">
        <f t="shared" si="7"/>
        <v>252.16997685892755</v>
      </c>
      <c r="F46" s="328">
        <f t="shared" si="8"/>
        <v>229.72444660248948</v>
      </c>
      <c r="G46" s="374">
        <f t="shared" si="11"/>
        <v>7.978252709631529</v>
      </c>
      <c r="H46" s="374">
        <f t="shared" si="5"/>
        <v>7.8437605820391036</v>
      </c>
      <c r="I46" s="341">
        <f t="shared" si="12"/>
        <v>-1.8371520904324399</v>
      </c>
      <c r="J46" s="341">
        <f t="shared" si="9"/>
        <v>672.47084676217526</v>
      </c>
    </row>
    <row r="47" spans="2:10">
      <c r="B47" s="331">
        <v>2003</v>
      </c>
      <c r="C47" s="299">
        <v>1583.0397951444099</v>
      </c>
      <c r="D47" s="299">
        <f t="shared" si="10"/>
        <v>1435.4718574752583</v>
      </c>
      <c r="E47" s="328">
        <f t="shared" si="7"/>
        <v>258.40715565087038</v>
      </c>
      <c r="F47" s="328">
        <f t="shared" si="8"/>
        <v>234.31893553453929</v>
      </c>
      <c r="G47" s="374">
        <f t="shared" si="11"/>
        <v>8.0135022105770304</v>
      </c>
      <c r="H47" s="374">
        <f t="shared" si="5"/>
        <v>7.8723297342358745</v>
      </c>
      <c r="I47" s="341">
        <f t="shared" si="12"/>
        <v>2.4734026110618572</v>
      </c>
      <c r="J47" s="341">
        <f t="shared" si="9"/>
        <v>675.59191984766755</v>
      </c>
    </row>
    <row r="48" spans="2:10">
      <c r="B48" s="331">
        <v>2004</v>
      </c>
      <c r="C48" s="299">
        <v>1618.7460050141494</v>
      </c>
      <c r="D48" s="299">
        <f t="shared" si="10"/>
        <v>1464.1812946247635</v>
      </c>
      <c r="E48" s="328">
        <f t="shared" si="7"/>
        <v>264.23565103033792</v>
      </c>
      <c r="F48" s="328">
        <f t="shared" si="8"/>
        <v>239.00531424523007</v>
      </c>
      <c r="G48" s="374">
        <f t="shared" si="11"/>
        <v>8.0456813198521679</v>
      </c>
      <c r="H48" s="374">
        <f t="shared" si="5"/>
        <v>7.9008988864326453</v>
      </c>
      <c r="I48" s="341">
        <f t="shared" si="12"/>
        <v>2.2555472060310535</v>
      </c>
      <c r="J48" s="341">
        <f t="shared" si="9"/>
        <v>677.28452403917947</v>
      </c>
    </row>
    <row r="49" spans="2:10">
      <c r="B49" s="331">
        <v>2005</v>
      </c>
      <c r="C49" s="299">
        <v>1625.2787208356208</v>
      </c>
      <c r="D49" s="299">
        <f t="shared" si="10"/>
        <v>1493.4649205172589</v>
      </c>
      <c r="E49" s="328">
        <f t="shared" si="7"/>
        <v>265.30201747247008</v>
      </c>
      <c r="F49" s="328">
        <f t="shared" si="8"/>
        <v>243.78542053013467</v>
      </c>
      <c r="G49" s="374">
        <f t="shared" si="11"/>
        <v>8.0514918362665533</v>
      </c>
      <c r="H49" s="374">
        <f t="shared" si="5"/>
        <v>7.929468038629417</v>
      </c>
      <c r="I49" s="341">
        <f t="shared" si="12"/>
        <v>0.4035664521324378</v>
      </c>
      <c r="J49" s="341">
        <f t="shared" si="9"/>
        <v>666.68413447420255</v>
      </c>
    </row>
    <row r="50" spans="2:10">
      <c r="B50" s="331">
        <v>2006</v>
      </c>
      <c r="C50" s="299">
        <v>1675.133975880899</v>
      </c>
      <c r="D50" s="299">
        <f t="shared" si="10"/>
        <v>1523.3342189276041</v>
      </c>
      <c r="E50" s="328">
        <f t="shared" si="7"/>
        <v>273.44012915482608</v>
      </c>
      <c r="F50" s="328">
        <f t="shared" si="8"/>
        <v>248.66112894073734</v>
      </c>
      <c r="G50" s="374">
        <f t="shared" si="11"/>
        <v>8.0950811733342078</v>
      </c>
      <c r="H50" s="374">
        <f t="shared" si="5"/>
        <v>7.9580371908261878</v>
      </c>
      <c r="I50" s="341">
        <f t="shared" si="12"/>
        <v>3.0674895577077308</v>
      </c>
      <c r="J50" s="341">
        <f t="shared" si="9"/>
        <v>673.66137321773795</v>
      </c>
    </row>
    <row r="51" spans="2:10">
      <c r="B51" s="331">
        <v>2007</v>
      </c>
      <c r="C51" s="299">
        <v>1737.1814035985251</v>
      </c>
      <c r="D51" s="299">
        <f t="shared" si="10"/>
        <v>1553.8009033061562</v>
      </c>
      <c r="E51" s="328">
        <f t="shared" si="7"/>
        <v>283.56842748386589</v>
      </c>
      <c r="F51" s="328">
        <f t="shared" si="8"/>
        <v>253.63435151955213</v>
      </c>
      <c r="G51" s="374">
        <f t="shared" si="11"/>
        <v>8.1475531015901552</v>
      </c>
      <c r="H51" s="374">
        <f t="shared" si="5"/>
        <v>7.9866063430229586</v>
      </c>
      <c r="I51" s="341">
        <f t="shared" si="12"/>
        <v>3.704027773957435</v>
      </c>
      <c r="J51" s="341">
        <f t="shared" si="9"/>
        <v>684.91566429818261</v>
      </c>
    </row>
    <row r="52" spans="2:10">
      <c r="B52" s="331">
        <v>2008</v>
      </c>
      <c r="C52" s="299">
        <v>1818.0986464483942</v>
      </c>
      <c r="D52" s="299">
        <f t="shared" si="10"/>
        <v>1584.8769213722794</v>
      </c>
      <c r="E52" s="328">
        <f t="shared" si="7"/>
        <v>296.77693596993208</v>
      </c>
      <c r="F52" s="328">
        <f t="shared" si="8"/>
        <v>258.70703854994315</v>
      </c>
      <c r="G52" s="374">
        <f t="shared" si="11"/>
        <v>8.213235166993794</v>
      </c>
      <c r="H52" s="374">
        <f t="shared" si="5"/>
        <v>8.0151754952197294</v>
      </c>
      <c r="I52" s="341">
        <f t="shared" si="12"/>
        <v>4.6579616085142987</v>
      </c>
      <c r="J52" s="341">
        <f t="shared" si="9"/>
        <v>702.76350293322798</v>
      </c>
    </row>
    <row r="53" spans="2:10">
      <c r="B53" s="331">
        <v>2009</v>
      </c>
      <c r="C53" s="299">
        <v>1718.5504074577732</v>
      </c>
      <c r="D53" s="299">
        <f t="shared" si="10"/>
        <v>1616.574459799725</v>
      </c>
      <c r="E53" s="328">
        <f t="shared" si="7"/>
        <v>280.5272008928219</v>
      </c>
      <c r="F53" s="328">
        <f t="shared" si="8"/>
        <v>263.88117932094201</v>
      </c>
      <c r="G53" s="374">
        <f t="shared" si="11"/>
        <v>8.1319968561188514</v>
      </c>
      <c r="H53" s="374">
        <f t="shared" si="5"/>
        <v>8.0437446474165011</v>
      </c>
      <c r="I53" s="341">
        <f t="shared" si="12"/>
        <v>-5.4754036138295277</v>
      </c>
      <c r="J53" s="341">
        <f t="shared" si="9"/>
        <v>651.25918107543828</v>
      </c>
    </row>
    <row r="54" spans="2:10">
      <c r="B54" s="331">
        <v>2010</v>
      </c>
      <c r="C54" s="299">
        <v>1913.4353939623056</v>
      </c>
      <c r="D54" s="299">
        <f t="shared" si="10"/>
        <v>1648.9059489957194</v>
      </c>
      <c r="E54" s="328">
        <f t="shared" si="7"/>
        <v>312.33920915449704</v>
      </c>
      <c r="F54" s="328">
        <f t="shared" si="8"/>
        <v>269.15880290736089</v>
      </c>
      <c r="G54" s="374">
        <f t="shared" si="11"/>
        <v>8.2869698776156735</v>
      </c>
      <c r="H54" s="374">
        <f t="shared" si="5"/>
        <v>8.072313799613271</v>
      </c>
      <c r="I54" s="341">
        <f t="shared" si="12"/>
        <v>11.340079735736296</v>
      </c>
      <c r="J54" s="341">
        <f t="shared" si="9"/>
        <v>710.89459950558444</v>
      </c>
    </row>
    <row r="55" spans="2:10">
      <c r="B55" s="331">
        <v>2011</v>
      </c>
      <c r="C55" s="299">
        <v>1965.9648990161982</v>
      </c>
      <c r="D55" s="299">
        <f t="shared" si="10"/>
        <v>1681.8840679756338</v>
      </c>
      <c r="E55" s="328">
        <f t="shared" si="7"/>
        <v>320.91385145367315</v>
      </c>
      <c r="F55" s="328">
        <f t="shared" si="8"/>
        <v>274.54197896550806</v>
      </c>
      <c r="G55" s="374">
        <f t="shared" si="11"/>
        <v>8.3260422511060366</v>
      </c>
      <c r="H55" s="374">
        <f t="shared" si="5"/>
        <v>8.1008829518100427</v>
      </c>
      <c r="I55" s="341">
        <f t="shared" si="12"/>
        <v>2.7452980758924497</v>
      </c>
      <c r="J55" s="341">
        <f t="shared" si="9"/>
        <v>716.08899536023011</v>
      </c>
    </row>
    <row r="56" spans="2:10">
      <c r="B56" s="331">
        <v>2012</v>
      </c>
      <c r="C56" s="299">
        <v>1912.2278690048809</v>
      </c>
      <c r="D56" s="299">
        <f t="shared" si="10"/>
        <v>1715.5217493351465</v>
      </c>
      <c r="E56" s="328">
        <f t="shared" si="7"/>
        <v>312.14209908147006</v>
      </c>
      <c r="F56" s="328">
        <f t="shared" si="8"/>
        <v>280.03281854481827</v>
      </c>
      <c r="G56" s="374">
        <f t="shared" si="11"/>
        <v>8.2860591386373947</v>
      </c>
      <c r="H56" s="374">
        <f t="shared" si="5"/>
        <v>8.1294521040068126</v>
      </c>
      <c r="I56" s="341">
        <f t="shared" si="12"/>
        <v>-2.7333667065067289</v>
      </c>
      <c r="J56" s="341">
        <f t="shared" si="9"/>
        <v>682.85848742362259</v>
      </c>
    </row>
    <row r="57" spans="2:10">
      <c r="B57" s="331">
        <v>2013</v>
      </c>
      <c r="C57" s="299">
        <v>2148.0567498766341</v>
      </c>
      <c r="D57" s="299">
        <f t="shared" si="10"/>
        <v>1749.8321843218496</v>
      </c>
      <c r="E57" s="328">
        <f t="shared" si="7"/>
        <v>350.63757500905945</v>
      </c>
      <c r="F57" s="328">
        <f t="shared" si="8"/>
        <v>285.63347491571466</v>
      </c>
      <c r="G57" s="374">
        <f t="shared" si="11"/>
        <v>8.4538367961817631</v>
      </c>
      <c r="H57" s="374">
        <f t="shared" si="5"/>
        <v>8.1580212562035843</v>
      </c>
      <c r="I57" s="341">
        <f t="shared" si="12"/>
        <v>12.33267670105019</v>
      </c>
      <c r="J57" s="341">
        <f t="shared" si="9"/>
        <v>752.03256568947006</v>
      </c>
    </row>
    <row r="58" spans="2:10">
      <c r="B58" s="331">
        <v>2014</v>
      </c>
      <c r="C58" s="299">
        <v>2216.3114462401095</v>
      </c>
      <c r="D58" s="299">
        <f t="shared" si="10"/>
        <v>1784.8288280082866</v>
      </c>
      <c r="E58" s="328">
        <f t="shared" si="7"/>
        <v>361.77911548150888</v>
      </c>
      <c r="F58" s="328">
        <f t="shared" si="8"/>
        <v>291.34614441402891</v>
      </c>
      <c r="G58" s="374">
        <f t="shared" si="11"/>
        <v>8.4989653173002075</v>
      </c>
      <c r="H58" s="374">
        <f t="shared" si="5"/>
        <v>8.186590408400356</v>
      </c>
      <c r="I58" s="341">
        <f t="shared" si="12"/>
        <v>3.1775089912030978</v>
      </c>
      <c r="J58" s="341">
        <f t="shared" si="9"/>
        <v>760.71418439316506</v>
      </c>
    </row>
    <row r="59" spans="2:10">
      <c r="B59" s="331">
        <v>2015</v>
      </c>
      <c r="C59" s="299">
        <v>2248.6843253457387</v>
      </c>
      <c r="D59" s="299">
        <f t="shared" si="10"/>
        <v>1820.5254045684524</v>
      </c>
      <c r="E59" s="328">
        <f t="shared" si="7"/>
        <v>367.06349534079851</v>
      </c>
      <c r="F59" s="328">
        <f t="shared" si="8"/>
        <v>297.17306730230956</v>
      </c>
      <c r="G59" s="374">
        <f t="shared" si="11"/>
        <v>8.5198858345595081</v>
      </c>
      <c r="H59" s="374">
        <f t="shared" si="5"/>
        <v>8.2151595605971259</v>
      </c>
      <c r="I59" s="341">
        <f t="shared" si="12"/>
        <v>1.4606647075955124</v>
      </c>
      <c r="J59" s="341">
        <f t="shared" si="9"/>
        <v>756.69183138261701</v>
      </c>
    </row>
    <row r="60" spans="2:10">
      <c r="B60" s="331">
        <v>2016</v>
      </c>
      <c r="C60" s="299">
        <v>2305.3633142439821</v>
      </c>
      <c r="D60" s="299">
        <f t="shared" si="10"/>
        <v>1856.9359126598215</v>
      </c>
      <c r="E60" s="328">
        <f t="shared" si="7"/>
        <v>376.31547773017758</v>
      </c>
      <c r="F60" s="328">
        <f t="shared" si="8"/>
        <v>303.11652864835577</v>
      </c>
      <c r="G60" s="374">
        <f t="shared" si="11"/>
        <v>8.5557988179670179</v>
      </c>
      <c r="H60" s="374">
        <f t="shared" si="5"/>
        <v>8.2437287127938976</v>
      </c>
      <c r="I60" s="341">
        <f t="shared" si="12"/>
        <v>2.5205400446560731</v>
      </c>
      <c r="J60" s="341">
        <f t="shared" si="9"/>
        <v>760.55348236005602</v>
      </c>
    </row>
    <row r="61" spans="2:10">
      <c r="B61" s="331">
        <v>2017</v>
      </c>
      <c r="C61" s="299">
        <v>2369.724898047707</v>
      </c>
      <c r="D61" s="299">
        <f t="shared" si="10"/>
        <v>1894.0746309130179</v>
      </c>
      <c r="E61" s="328">
        <f t="shared" si="7"/>
        <v>386.82152682314342</v>
      </c>
      <c r="F61" s="328">
        <f t="shared" si="8"/>
        <v>309.17885922132285</v>
      </c>
      <c r="G61" s="374">
        <f t="shared" si="11"/>
        <v>8.5955242735678148</v>
      </c>
      <c r="H61" s="374">
        <f t="shared" si="5"/>
        <v>8.2722978649906675</v>
      </c>
      <c r="I61" s="341">
        <f t="shared" si="12"/>
        <v>2.7918195542567332</v>
      </c>
      <c r="J61" s="341">
        <f t="shared" si="9"/>
        <v>766.457610981534</v>
      </c>
    </row>
    <row r="65" spans="1:8">
      <c r="B65" s="384" t="s">
        <v>559</v>
      </c>
      <c r="C65" s="334"/>
      <c r="D65" s="334"/>
      <c r="E65" s="334"/>
      <c r="F65" s="334"/>
      <c r="G65" s="334" t="s">
        <v>561</v>
      </c>
      <c r="H65" s="334"/>
    </row>
    <row r="66" spans="1:8">
      <c r="A66" s="383"/>
      <c r="B66" s="385" t="s">
        <v>560</v>
      </c>
      <c r="C66" s="332"/>
      <c r="D66" s="332"/>
      <c r="E66" s="328"/>
      <c r="F66" s="328"/>
      <c r="G66" s="375"/>
      <c r="H66" s="375"/>
    </row>
    <row r="67" spans="1:8">
      <c r="B67" s="386" t="s">
        <v>558</v>
      </c>
      <c r="C67" s="332"/>
      <c r="D67" s="332"/>
      <c r="E67" s="328"/>
      <c r="F67" s="328"/>
      <c r="G67" s="375"/>
      <c r="H67" s="375"/>
    </row>
    <row r="68" spans="1:8">
      <c r="C68" s="332"/>
      <c r="D68" s="332"/>
      <c r="E68" s="328"/>
      <c r="F68" s="328"/>
      <c r="G68" s="375"/>
      <c r="H68" s="375"/>
    </row>
    <row r="69" spans="1:8">
      <c r="A69" s="383"/>
      <c r="C69" s="332"/>
      <c r="D69" s="332"/>
      <c r="E69" s="328"/>
      <c r="F69" s="328"/>
      <c r="G69" s="375"/>
      <c r="H69" s="375"/>
    </row>
    <row r="70" spans="1:8">
      <c r="B70" s="333"/>
      <c r="C70" s="334"/>
      <c r="D70" s="334"/>
      <c r="E70" s="334"/>
      <c r="F70" s="334"/>
      <c r="G70" s="334"/>
      <c r="H70" s="334"/>
    </row>
    <row r="71" spans="1:8">
      <c r="B71" s="333"/>
      <c r="C71" s="334"/>
      <c r="D71" s="334"/>
      <c r="E71" s="334"/>
      <c r="F71" s="334"/>
      <c r="G71" s="334"/>
      <c r="H71" s="334"/>
    </row>
    <row r="72" spans="1:8">
      <c r="B72" s="333"/>
      <c r="C72" s="334"/>
      <c r="D72" s="334"/>
      <c r="E72" s="334"/>
      <c r="F72" s="334"/>
      <c r="G72" s="334"/>
      <c r="H72" s="334"/>
    </row>
    <row r="73" spans="1:8">
      <c r="B73" s="333"/>
      <c r="C73" s="334"/>
      <c r="D73" s="334"/>
      <c r="E73" s="334"/>
      <c r="F73" s="334"/>
      <c r="G73" s="334"/>
      <c r="H73" s="334"/>
    </row>
    <row r="74" spans="1:8">
      <c r="B74" s="333"/>
      <c r="C74" s="334"/>
      <c r="D74" s="334"/>
      <c r="E74" s="334"/>
      <c r="F74" s="334"/>
      <c r="G74" s="334"/>
      <c r="H74" s="334"/>
    </row>
    <row r="75" spans="1:8">
      <c r="B75" s="333"/>
      <c r="C75" s="334"/>
      <c r="D75" s="334"/>
      <c r="E75" s="334"/>
      <c r="F75" s="334"/>
      <c r="G75" s="334"/>
      <c r="H75" s="334"/>
    </row>
    <row r="76" spans="1:8">
      <c r="B76" s="333"/>
      <c r="C76" s="334"/>
      <c r="D76" s="334"/>
      <c r="E76" s="334"/>
      <c r="F76" s="334"/>
      <c r="G76" s="334"/>
      <c r="H76" s="334"/>
    </row>
    <row r="77" spans="1:8">
      <c r="B77" s="333"/>
      <c r="C77" s="334"/>
      <c r="D77" s="334"/>
      <c r="E77" s="334"/>
      <c r="F77" s="334"/>
      <c r="G77" s="334"/>
      <c r="H77" s="334"/>
    </row>
    <row r="78" spans="1:8">
      <c r="B78" s="335"/>
      <c r="C78" s="336"/>
      <c r="D78" s="336"/>
      <c r="E78" s="336"/>
      <c r="F78" s="336"/>
      <c r="G78" s="336"/>
      <c r="H78" s="336"/>
    </row>
    <row r="79" spans="1:8">
      <c r="B79" s="337"/>
      <c r="C79" s="334"/>
      <c r="D79" s="334"/>
      <c r="E79" s="334"/>
      <c r="F79" s="334"/>
      <c r="G79" s="334"/>
      <c r="H79" s="334"/>
    </row>
    <row r="80" spans="1:8">
      <c r="B80" s="335"/>
      <c r="C80" s="334"/>
      <c r="D80" s="334"/>
      <c r="E80" s="334"/>
      <c r="F80" s="334"/>
      <c r="G80" s="334"/>
      <c r="H80" s="334"/>
    </row>
    <row r="81" spans="3:8">
      <c r="C81" s="329"/>
      <c r="D81" s="329"/>
      <c r="E81" s="329"/>
      <c r="F81" s="329"/>
      <c r="G81" s="329"/>
      <c r="H81" s="329"/>
    </row>
    <row r="82" spans="3:8">
      <c r="C82" s="329"/>
      <c r="D82" s="329"/>
      <c r="E82" s="329"/>
      <c r="F82" s="329"/>
      <c r="G82" s="329"/>
      <c r="H82" s="329"/>
    </row>
    <row r="83" spans="3:8">
      <c r="C83" s="329"/>
      <c r="D83" s="329"/>
      <c r="E83" s="329"/>
      <c r="F83" s="329"/>
      <c r="G83" s="329"/>
      <c r="H83" s="329"/>
    </row>
    <row r="84" spans="3:8">
      <c r="C84" s="329"/>
      <c r="D84" s="329"/>
      <c r="E84" s="329"/>
      <c r="F84" s="329"/>
      <c r="G84" s="329"/>
      <c r="H84" s="329"/>
    </row>
    <row r="85" spans="3:8">
      <c r="C85" s="329"/>
      <c r="D85" s="329"/>
      <c r="E85" s="329"/>
      <c r="F85" s="329"/>
      <c r="G85" s="329"/>
      <c r="H85" s="329"/>
    </row>
    <row r="86" spans="3:8">
      <c r="C86" s="329"/>
      <c r="D86" s="329"/>
      <c r="E86" s="329"/>
      <c r="F86" s="329"/>
      <c r="G86" s="329"/>
      <c r="H86" s="329"/>
    </row>
    <row r="87" spans="3:8">
      <c r="C87" s="329"/>
      <c r="D87" s="329"/>
      <c r="E87" s="329"/>
      <c r="F87" s="329"/>
      <c r="G87" s="329"/>
      <c r="H87" s="329"/>
    </row>
    <row r="88" spans="3:8">
      <c r="C88" s="329"/>
      <c r="D88" s="329"/>
      <c r="E88" s="329"/>
      <c r="F88" s="329"/>
      <c r="G88" s="329"/>
      <c r="H88" s="329"/>
    </row>
    <row r="89" spans="3:8">
      <c r="C89" s="329"/>
      <c r="D89" s="329"/>
      <c r="E89" s="329"/>
      <c r="F89" s="329"/>
      <c r="G89" s="329"/>
      <c r="H89" s="329"/>
    </row>
    <row r="90" spans="3:8">
      <c r="C90" s="329"/>
      <c r="D90" s="329"/>
      <c r="E90" s="329"/>
      <c r="F90" s="329"/>
      <c r="G90" s="329"/>
      <c r="H90" s="329"/>
    </row>
    <row r="91" spans="3:8">
      <c r="C91" s="329"/>
      <c r="D91" s="329"/>
      <c r="E91" s="329"/>
      <c r="F91" s="329"/>
      <c r="G91" s="329"/>
      <c r="H91" s="329"/>
    </row>
    <row r="204" spans="2:8" ht="12.6" thickBot="1">
      <c r="B204" s="335"/>
      <c r="C204" s="338"/>
      <c r="D204" s="338"/>
      <c r="E204" s="338"/>
      <c r="F204" s="338"/>
      <c r="G204" s="338"/>
      <c r="H204" s="338"/>
    </row>
    <row r="205" spans="2:8" ht="12.6" thickTop="1">
      <c r="B205" s="339"/>
      <c r="C205" s="340"/>
      <c r="D205" s="351"/>
      <c r="E205" s="351"/>
      <c r="F205" s="351"/>
      <c r="G205" s="351"/>
      <c r="H205" s="351"/>
    </row>
  </sheetData>
  <pageMargins left="0.7" right="0.7" top="0.75" bottom="0.75" header="0.3" footer="0.3"/>
  <pageSetup orientation="portrait" horizontalDpi="4294967292" verticalDpi="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7" tint="0.39997558519241921"/>
  </sheetPr>
  <dimension ref="A1:C58"/>
  <sheetViews>
    <sheetView workbookViewId="0">
      <selection activeCell="C59" sqref="C59"/>
    </sheetView>
  </sheetViews>
  <sheetFormatPr defaultColWidth="11.44140625" defaultRowHeight="14.4"/>
  <cols>
    <col min="3" max="3" width="12.44140625" customWidth="1"/>
  </cols>
  <sheetData>
    <row r="1" spans="1:3">
      <c r="A1" s="63" t="s">
        <v>166</v>
      </c>
      <c r="C1" s="93"/>
    </row>
    <row r="2" spans="1:3">
      <c r="B2" s="32" t="s">
        <v>88</v>
      </c>
      <c r="C2" s="94" t="s">
        <v>47</v>
      </c>
    </row>
    <row r="3" spans="1:3">
      <c r="B3" s="30">
        <v>1960</v>
      </c>
      <c r="C3" s="108">
        <v>246.48863998067051</v>
      </c>
    </row>
    <row r="4" spans="1:3">
      <c r="B4" s="30">
        <v>1961</v>
      </c>
      <c r="C4" s="108">
        <v>283.84591512081147</v>
      </c>
    </row>
    <row r="5" spans="1:3">
      <c r="B5" s="30">
        <v>1962</v>
      </c>
      <c r="C5" s="108">
        <v>324.21354250809168</v>
      </c>
    </row>
    <row r="6" spans="1:3">
      <c r="B6" s="30">
        <v>1963</v>
      </c>
      <c r="C6" s="108">
        <v>344.75735442305876</v>
      </c>
    </row>
    <row r="7" spans="1:3">
      <c r="B7" s="30">
        <v>1964</v>
      </c>
      <c r="C7" s="108">
        <v>367.35568938253704</v>
      </c>
    </row>
    <row r="8" spans="1:3">
      <c r="B8" s="30">
        <v>1965</v>
      </c>
      <c r="C8" s="108">
        <v>400.12969108805129</v>
      </c>
    </row>
    <row r="9" spans="1:3">
      <c r="B9" s="30">
        <v>1966</v>
      </c>
      <c r="C9" s="108">
        <v>421.70044180649177</v>
      </c>
    </row>
    <row r="10" spans="1:3">
      <c r="B10" s="30">
        <v>1967</v>
      </c>
      <c r="C10" s="108">
        <v>451.52412453907164</v>
      </c>
    </row>
    <row r="11" spans="1:3">
      <c r="B11" s="30">
        <v>1968</v>
      </c>
      <c r="C11" s="108">
        <v>477.01251268686502</v>
      </c>
    </row>
    <row r="12" spans="1:3">
      <c r="B12" s="30">
        <v>1969</v>
      </c>
      <c r="C12" s="108">
        <v>512.72894618069381</v>
      </c>
    </row>
    <row r="13" spans="1:3">
      <c r="B13" s="30">
        <v>1970</v>
      </c>
      <c r="C13" s="108">
        <v>548.75809832679533</v>
      </c>
    </row>
    <row r="14" spans="1:3">
      <c r="B14" s="30">
        <v>1971</v>
      </c>
      <c r="C14" s="108">
        <v>609.04728531209878</v>
      </c>
    </row>
    <row r="15" spans="1:3">
      <c r="B15" s="30">
        <v>1972</v>
      </c>
      <c r="C15" s="108">
        <v>697.29172753861019</v>
      </c>
    </row>
    <row r="16" spans="1:3">
      <c r="B16" s="30">
        <v>1973</v>
      </c>
      <c r="C16" s="108">
        <v>889.35705974323298</v>
      </c>
    </row>
    <row r="17" spans="2:3">
      <c r="B17" s="30">
        <v>1974</v>
      </c>
      <c r="C17" s="108">
        <v>1199.6189801330092</v>
      </c>
    </row>
    <row r="18" spans="2:3">
      <c r="B18" s="30">
        <v>1975</v>
      </c>
      <c r="C18" s="108">
        <v>1351.889402983539</v>
      </c>
    </row>
    <row r="19" spans="2:3">
      <c r="B19" s="30">
        <v>1976</v>
      </c>
      <c r="C19" s="108">
        <v>1540.8202456237755</v>
      </c>
    </row>
    <row r="20" spans="2:3">
      <c r="B20" s="30">
        <v>1977</v>
      </c>
      <c r="C20" s="108">
        <v>1912.3533399593316</v>
      </c>
    </row>
    <row r="21" spans="2:3">
      <c r="B21" s="30">
        <v>1978</v>
      </c>
      <c r="C21" s="108">
        <v>2350.3291567827805</v>
      </c>
    </row>
    <row r="22" spans="2:3">
      <c r="B22" s="30">
        <v>1979</v>
      </c>
      <c r="C22" s="108">
        <v>3135.1238795096424</v>
      </c>
    </row>
    <row r="23" spans="2:3">
      <c r="B23" s="30">
        <v>1980</v>
      </c>
      <c r="C23" s="108">
        <v>4094.8104881574427</v>
      </c>
    </row>
    <row r="24" spans="2:3">
      <c r="B24" s="30">
        <v>1981</v>
      </c>
      <c r="C24" s="108">
        <v>5219.5168101229938</v>
      </c>
    </row>
    <row r="25" spans="2:3">
      <c r="B25" s="30">
        <v>1982</v>
      </c>
      <c r="C25" s="108">
        <v>5067.4500024150539</v>
      </c>
    </row>
    <row r="26" spans="2:3">
      <c r="B26" s="30">
        <v>1983</v>
      </c>
      <c r="C26" s="108">
        <v>5237.4325423510663</v>
      </c>
    </row>
    <row r="27" spans="2:3">
      <c r="B27" s="30">
        <v>1984</v>
      </c>
      <c r="C27" s="108">
        <v>4062.2216859151686</v>
      </c>
    </row>
    <row r="28" spans="2:3">
      <c r="B28" s="30">
        <v>1985</v>
      </c>
      <c r="C28" s="108">
        <v>2964.2162599190387</v>
      </c>
    </row>
    <row r="29" spans="2:3">
      <c r="B29" s="30">
        <v>1986</v>
      </c>
      <c r="C29" s="108">
        <v>3442.3778510271586</v>
      </c>
    </row>
    <row r="30" spans="2:3">
      <c r="B30" s="30">
        <v>1987</v>
      </c>
      <c r="C30" s="108">
        <v>3778.3163802466097</v>
      </c>
    </row>
    <row r="31" spans="2:3">
      <c r="B31" s="30">
        <v>1988</v>
      </c>
      <c r="C31" s="108">
        <v>4082.6259527585694</v>
      </c>
    </row>
    <row r="32" spans="2:3">
      <c r="B32" s="30">
        <v>1989</v>
      </c>
      <c r="C32" s="108">
        <v>4337.9365778952397</v>
      </c>
    </row>
    <row r="33" spans="2:3">
      <c r="B33" s="30">
        <v>1990</v>
      </c>
      <c r="C33" s="108">
        <v>5719.0678284320029</v>
      </c>
    </row>
    <row r="34" spans="2:3">
      <c r="B34" s="30">
        <v>1991</v>
      </c>
      <c r="C34" s="108">
        <v>7000.8194067384393</v>
      </c>
    </row>
    <row r="35" spans="2:3">
      <c r="B35" s="30">
        <v>1992</v>
      </c>
      <c r="C35" s="108">
        <v>7178.958594062763</v>
      </c>
    </row>
    <row r="36" spans="2:3">
      <c r="B36" s="30">
        <v>1993</v>
      </c>
      <c r="C36" s="108">
        <v>7272.1021653169864</v>
      </c>
    </row>
    <row r="37" spans="2:3">
      <c r="B37" s="30">
        <v>1994</v>
      </c>
      <c r="C37" s="108">
        <v>7875.368097028545</v>
      </c>
    </row>
    <row r="38" spans="2:3">
      <c r="B38" s="30">
        <v>1995</v>
      </c>
      <c r="C38" s="108">
        <v>9071.7418932767087</v>
      </c>
    </row>
    <row r="39" spans="2:3">
      <c r="B39" s="30">
        <v>1996</v>
      </c>
      <c r="C39" s="108">
        <v>9796.028022233706</v>
      </c>
    </row>
    <row r="40" spans="2:3">
      <c r="B40" s="30">
        <v>1997</v>
      </c>
      <c r="C40" s="108">
        <v>9959.9568819316901</v>
      </c>
    </row>
    <row r="41" spans="2:3">
      <c r="B41" s="30">
        <v>1998</v>
      </c>
      <c r="C41" s="108">
        <v>9022.6673075831095</v>
      </c>
    </row>
    <row r="42" spans="2:3">
      <c r="B42" s="30">
        <v>1999</v>
      </c>
      <c r="C42" s="108">
        <v>8392.8088267173862</v>
      </c>
    </row>
    <row r="43" spans="2:3">
      <c r="B43" s="30">
        <v>2000</v>
      </c>
      <c r="C43" s="108">
        <v>8207.1643055528384</v>
      </c>
    </row>
    <row r="44" spans="2:3">
      <c r="B44" s="30">
        <v>2001</v>
      </c>
      <c r="C44" s="108">
        <v>7662.1524311620069</v>
      </c>
    </row>
    <row r="45" spans="2:3">
      <c r="B45" s="30">
        <v>2002</v>
      </c>
      <c r="C45" s="108">
        <v>6326.1700989447218</v>
      </c>
    </row>
    <row r="46" spans="2:3">
      <c r="B46" s="30">
        <v>2003</v>
      </c>
      <c r="C46" s="108">
        <v>6588.2656194307474</v>
      </c>
    </row>
    <row r="47" spans="2:3">
      <c r="B47" s="30">
        <v>2004</v>
      </c>
      <c r="C47" s="108">
        <v>8060.4005681152739</v>
      </c>
    </row>
    <row r="48" spans="2:3">
      <c r="B48" s="30">
        <v>2005</v>
      </c>
      <c r="C48" s="108">
        <v>8772.073952502451</v>
      </c>
    </row>
    <row r="49" spans="2:3">
      <c r="B49" s="30">
        <v>2006</v>
      </c>
      <c r="C49" s="108">
        <v>10662.013294307888</v>
      </c>
    </row>
    <row r="50" spans="2:3">
      <c r="B50" s="30">
        <v>2007</v>
      </c>
      <c r="C50" s="108">
        <v>13837.525590267269</v>
      </c>
    </row>
    <row r="51" spans="2:3">
      <c r="B51" s="30">
        <v>2008</v>
      </c>
      <c r="C51" s="108">
        <v>18504.760911426012</v>
      </c>
    </row>
    <row r="52" spans="2:3">
      <c r="B52" s="30">
        <v>2009</v>
      </c>
      <c r="C52" s="108">
        <v>15954.961409856867</v>
      </c>
    </row>
    <row r="53" spans="2:3">
      <c r="B53" s="30">
        <v>2010</v>
      </c>
      <c r="C53" s="108">
        <v>20028.375553907728</v>
      </c>
    </row>
    <row r="54" spans="2:3">
      <c r="B54" s="30">
        <v>2011</v>
      </c>
      <c r="C54" s="108">
        <v>25149.416075977198</v>
      </c>
    </row>
    <row r="55" spans="2:3">
      <c r="B55" s="30">
        <v>2012</v>
      </c>
      <c r="C55" s="108">
        <v>24690.711391574045</v>
      </c>
    </row>
    <row r="56" spans="2:3">
      <c r="B56" s="30">
        <v>2013</v>
      </c>
      <c r="C56" s="108">
        <v>28914.73615183698</v>
      </c>
    </row>
    <row r="57" spans="2:3">
      <c r="B57" s="30">
        <v>2014</v>
      </c>
      <c r="C57" s="108">
        <v>30657.221854285337</v>
      </c>
    </row>
    <row r="58" spans="2:3">
      <c r="C58" t="s">
        <v>49</v>
      </c>
    </row>
  </sheetData>
  <hyperlinks>
    <hyperlink ref="A1" location="Índice!A1" display="Índice"/>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7" tint="0.39997558519241921"/>
  </sheetPr>
  <dimension ref="A1:C57"/>
  <sheetViews>
    <sheetView workbookViewId="0"/>
  </sheetViews>
  <sheetFormatPr defaultColWidth="11.44140625" defaultRowHeight="14.4"/>
  <cols>
    <col min="3" max="3" width="12.44140625" customWidth="1"/>
  </cols>
  <sheetData>
    <row r="1" spans="1:3">
      <c r="A1" s="63" t="s">
        <v>166</v>
      </c>
      <c r="C1" s="47" t="s">
        <v>157</v>
      </c>
    </row>
    <row r="2" spans="1:3" ht="20.399999999999999">
      <c r="B2" s="48" t="s">
        <v>88</v>
      </c>
      <c r="C2" s="48" t="s">
        <v>156</v>
      </c>
    </row>
    <row r="3" spans="1:3">
      <c r="B3" s="30">
        <v>1960</v>
      </c>
      <c r="C3" s="56">
        <v>-7.9999144965717806E-3</v>
      </c>
    </row>
    <row r="4" spans="1:3">
      <c r="B4" s="30">
        <v>1961</v>
      </c>
      <c r="C4" s="56">
        <v>6.9002855141948996E-2</v>
      </c>
    </row>
    <row r="5" spans="1:3">
      <c r="B5" s="30">
        <v>1962</v>
      </c>
      <c r="C5" s="56">
        <v>3.300258517730903E-2</v>
      </c>
    </row>
    <row r="6" spans="1:3">
      <c r="B6" s="30">
        <v>1963</v>
      </c>
      <c r="C6" s="56">
        <v>4.7102913374604594E-2</v>
      </c>
    </row>
    <row r="7" spans="1:3">
      <c r="B7" s="30">
        <v>1964</v>
      </c>
      <c r="C7" s="56">
        <v>4.2124773584204078E-2</v>
      </c>
    </row>
    <row r="8" spans="1:3">
      <c r="B8" s="30">
        <v>1965</v>
      </c>
      <c r="C8" s="56">
        <v>6.1679747592396916E-2</v>
      </c>
    </row>
    <row r="9" spans="1:3">
      <c r="B9" s="30">
        <v>1966</v>
      </c>
      <c r="C9" s="56">
        <v>1.991503333128275E-2</v>
      </c>
    </row>
    <row r="10" spans="1:3">
      <c r="B10" s="30">
        <v>1967</v>
      </c>
      <c r="C10" s="56">
        <v>9.1503672042041018E-2</v>
      </c>
    </row>
    <row r="11" spans="1:3">
      <c r="B11" s="30">
        <v>1968</v>
      </c>
      <c r="C11" s="56">
        <v>4.527073841332574E-2</v>
      </c>
    </row>
    <row r="12" spans="1:3">
      <c r="B12" s="30">
        <v>1969</v>
      </c>
      <c r="C12" s="56">
        <v>4.7011514083162398E-2</v>
      </c>
    </row>
    <row r="13" spans="1:3">
      <c r="B13" s="30">
        <v>1970</v>
      </c>
      <c r="C13" s="56">
        <v>5.5534257358763384E-2</v>
      </c>
    </row>
    <row r="14" spans="1:3">
      <c r="B14" s="30">
        <v>1971</v>
      </c>
      <c r="C14" s="56">
        <v>5.5381519387889488E-2</v>
      </c>
    </row>
    <row r="15" spans="1:3">
      <c r="B15" s="30">
        <v>1972</v>
      </c>
      <c r="C15" s="56">
        <v>6.6312974759276333E-2</v>
      </c>
    </row>
    <row r="16" spans="1:3">
      <c r="B16" s="30">
        <v>1973</v>
      </c>
      <c r="C16" s="56">
        <v>7.3028129073295034E-2</v>
      </c>
    </row>
    <row r="17" spans="2:3">
      <c r="B17" s="30">
        <v>1974</v>
      </c>
      <c r="C17" s="56">
        <v>8.3815254380606996E-2</v>
      </c>
    </row>
    <row r="18" spans="2:3">
      <c r="B18" s="30">
        <v>1975</v>
      </c>
      <c r="C18" s="56">
        <v>6.8524447148100354E-2</v>
      </c>
    </row>
    <row r="19" spans="2:3">
      <c r="B19" s="30">
        <v>1976</v>
      </c>
      <c r="C19" s="56">
        <v>7.5259495306975399E-2</v>
      </c>
    </row>
    <row r="20" spans="2:3">
      <c r="B20" s="30">
        <v>1977</v>
      </c>
      <c r="C20" s="56">
        <v>0.11494081602257888</v>
      </c>
    </row>
    <row r="21" spans="2:3">
      <c r="B21" s="30">
        <v>1978</v>
      </c>
      <c r="C21" s="56">
        <v>0.12028729945260386</v>
      </c>
    </row>
    <row r="22" spans="2:3">
      <c r="B22" s="30">
        <v>1979</v>
      </c>
      <c r="C22" s="56">
        <v>0.11862146972516618</v>
      </c>
    </row>
    <row r="23" spans="2:3">
      <c r="B23" s="30">
        <v>1980</v>
      </c>
      <c r="C23" s="56">
        <v>0.11712145942928354</v>
      </c>
    </row>
    <row r="24" spans="2:3">
      <c r="B24" s="30">
        <v>1981</v>
      </c>
      <c r="C24" s="56">
        <v>9.1704588496358985E-2</v>
      </c>
    </row>
    <row r="25" spans="2:3">
      <c r="B25" s="30">
        <v>1982</v>
      </c>
      <c r="C25" s="56">
        <v>-1.3976177174267024E-2</v>
      </c>
    </row>
    <row r="26" spans="2:3">
      <c r="B26" s="30">
        <v>1983</v>
      </c>
      <c r="C26" s="56">
        <v>-3.0426178854094044E-2</v>
      </c>
    </row>
    <row r="27" spans="2:3">
      <c r="B27" s="30">
        <v>1984</v>
      </c>
      <c r="C27" s="56">
        <v>2.8165994467003852E-2</v>
      </c>
    </row>
    <row r="28" spans="2:3">
      <c r="B28" s="30">
        <v>1985</v>
      </c>
      <c r="C28" s="56">
        <v>4.5231356784568355E-2</v>
      </c>
    </row>
    <row r="29" spans="2:3">
      <c r="B29" s="30">
        <v>1986</v>
      </c>
      <c r="C29" s="56">
        <v>4.9648356642973068E-2</v>
      </c>
    </row>
    <row r="30" spans="2:3">
      <c r="B30" s="30">
        <v>1987</v>
      </c>
      <c r="C30" s="56">
        <v>7.5823043769046805E-2</v>
      </c>
    </row>
    <row r="31" spans="2:3">
      <c r="B31" s="30">
        <v>1988</v>
      </c>
      <c r="C31" s="56">
        <v>5.9153720660205744E-2</v>
      </c>
    </row>
    <row r="32" spans="2:3">
      <c r="B32" s="30">
        <v>1989</v>
      </c>
      <c r="C32" s="56">
        <v>6.935203910123322E-2</v>
      </c>
    </row>
    <row r="33" spans="2:3">
      <c r="B33" s="30">
        <v>1990</v>
      </c>
      <c r="C33" s="56">
        <v>4.1232828795816134E-2</v>
      </c>
    </row>
    <row r="34" spans="2:3">
      <c r="B34" s="30">
        <v>1991</v>
      </c>
      <c r="C34" s="56">
        <v>3.49365015506784E-2</v>
      </c>
    </row>
    <row r="35" spans="2:3">
      <c r="B35" s="30">
        <v>1992</v>
      </c>
      <c r="C35" s="56">
        <v>1.6964280112351293E-2</v>
      </c>
    </row>
    <row r="36" spans="2:3">
      <c r="B36" s="30">
        <v>1993</v>
      </c>
      <c r="C36" s="56">
        <v>4.9363594147654899E-2</v>
      </c>
    </row>
    <row r="37" spans="2:3">
      <c r="B37" s="30">
        <v>1994</v>
      </c>
      <c r="C37" s="56">
        <v>5.3179176601827249E-2</v>
      </c>
    </row>
    <row r="38" spans="2:3">
      <c r="B38" s="30">
        <v>1995</v>
      </c>
      <c r="C38" s="56">
        <v>6.8228103036197751E-2</v>
      </c>
    </row>
    <row r="39" spans="2:3">
      <c r="B39" s="30">
        <v>1996</v>
      </c>
      <c r="C39" s="56">
        <v>1.5737851317312535E-2</v>
      </c>
    </row>
    <row r="40" spans="2:3">
      <c r="B40" s="30">
        <v>1997</v>
      </c>
      <c r="C40" s="56">
        <v>4.2425161027366265E-2</v>
      </c>
    </row>
    <row r="41" spans="2:3">
      <c r="B41" s="30">
        <v>1998</v>
      </c>
      <c r="C41" s="56">
        <v>6.8037755757299756E-4</v>
      </c>
    </row>
    <row r="42" spans="2:3">
      <c r="B42" s="30">
        <v>1999</v>
      </c>
      <c r="C42" s="56">
        <v>-1.3660797123859592E-2</v>
      </c>
    </row>
    <row r="43" spans="2:3">
      <c r="B43" s="30">
        <v>2000</v>
      </c>
      <c r="C43" s="56">
        <v>-2.3141405682292504E-2</v>
      </c>
    </row>
    <row r="44" spans="2:3">
      <c r="B44" s="30">
        <v>2001</v>
      </c>
      <c r="C44" s="56">
        <v>-8.3405471672466369E-3</v>
      </c>
    </row>
    <row r="45" spans="2:3">
      <c r="B45" s="30">
        <v>2002</v>
      </c>
      <c r="C45" s="56">
        <v>-2.1404395033342016E-4</v>
      </c>
    </row>
    <row r="46" spans="2:3">
      <c r="B46" s="30">
        <v>2003</v>
      </c>
      <c r="C46" s="56">
        <v>4.3207454855496152E-2</v>
      </c>
    </row>
    <row r="47" spans="2:3">
      <c r="B47" s="30">
        <v>2004</v>
      </c>
      <c r="C47" s="56">
        <v>4.0574183636285177E-2</v>
      </c>
    </row>
    <row r="48" spans="2:3">
      <c r="B48" s="30">
        <v>2005</v>
      </c>
      <c r="C48" s="56">
        <v>2.1334906646040652E-2</v>
      </c>
    </row>
    <row r="49" spans="2:3">
      <c r="B49" s="30">
        <v>2006</v>
      </c>
      <c r="C49" s="56">
        <v>4.8071171927070999E-2</v>
      </c>
    </row>
    <row r="50" spans="2:3">
      <c r="B50" s="30">
        <v>2007</v>
      </c>
      <c r="C50" s="56">
        <v>5.4216228722020476E-2</v>
      </c>
    </row>
    <row r="51" spans="2:3">
      <c r="B51" s="30">
        <v>2008</v>
      </c>
      <c r="C51" s="56">
        <v>6.3591207932471416E-2</v>
      </c>
    </row>
    <row r="52" spans="2:3">
      <c r="B52" s="30">
        <v>2009</v>
      </c>
      <c r="C52" s="56">
        <v>-3.9656954640880815E-2</v>
      </c>
    </row>
    <row r="53" spans="2:3">
      <c r="B53" s="30">
        <v>2010</v>
      </c>
      <c r="C53" s="56">
        <v>0.13093001522724301</v>
      </c>
    </row>
    <row r="54" spans="2:3">
      <c r="B54" s="30">
        <v>2011</v>
      </c>
      <c r="C54" s="56">
        <v>4.3424071936255082E-2</v>
      </c>
    </row>
    <row r="55" spans="2:3">
      <c r="B55" s="30">
        <v>2012</v>
      </c>
      <c r="C55" s="56">
        <v>-1.238967845929495E-2</v>
      </c>
    </row>
    <row r="56" spans="2:3">
      <c r="B56" s="30">
        <v>2013</v>
      </c>
      <c r="C56" s="56">
        <v>0.14224603468478314</v>
      </c>
    </row>
    <row r="57" spans="2:3">
      <c r="B57" s="30">
        <v>2014</v>
      </c>
      <c r="C57" s="56">
        <v>4.7223337450089387E-2</v>
      </c>
    </row>
  </sheetData>
  <hyperlinks>
    <hyperlink ref="A1" location="Índice!A1" display="Índic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3" tint="0.59999389629810485"/>
  </sheetPr>
  <dimension ref="A1:C57"/>
  <sheetViews>
    <sheetView workbookViewId="0"/>
  </sheetViews>
  <sheetFormatPr defaultColWidth="11.44140625" defaultRowHeight="14.4"/>
  <cols>
    <col min="3" max="3" width="12.44140625" customWidth="1"/>
  </cols>
  <sheetData>
    <row r="1" spans="1:3">
      <c r="A1" s="63" t="s">
        <v>166</v>
      </c>
      <c r="C1" s="21"/>
    </row>
    <row r="2" spans="1:3">
      <c r="B2" s="32" t="s">
        <v>88</v>
      </c>
      <c r="C2" s="32" t="s">
        <v>12</v>
      </c>
    </row>
    <row r="3" spans="1:3">
      <c r="B3" s="30">
        <v>1960</v>
      </c>
      <c r="C3" s="57">
        <v>0.44455006617571402</v>
      </c>
    </row>
    <row r="4" spans="1:3">
      <c r="B4" s="30">
        <v>1961</v>
      </c>
      <c r="C4" s="57">
        <v>0.52423356860343673</v>
      </c>
    </row>
    <row r="5" spans="1:3">
      <c r="B5" s="30">
        <v>1962</v>
      </c>
      <c r="C5" s="57">
        <v>0.53471823997550538</v>
      </c>
    </row>
    <row r="6" spans="1:3">
      <c r="B6" s="30">
        <v>1963</v>
      </c>
      <c r="C6" s="57">
        <v>0.54310597707316</v>
      </c>
    </row>
    <row r="7" spans="1:3">
      <c r="B7" s="30">
        <v>1964</v>
      </c>
      <c r="C7" s="57">
        <v>0.55917532067241027</v>
      </c>
    </row>
    <row r="8" spans="1:3">
      <c r="B8" s="30">
        <v>1965</v>
      </c>
      <c r="C8" s="57">
        <v>0.58066234433082331</v>
      </c>
    </row>
    <row r="9" spans="1:3">
      <c r="B9" s="30">
        <v>1966</v>
      </c>
      <c r="C9" s="57">
        <v>0.59744179881461645</v>
      </c>
    </row>
    <row r="10" spans="1:3">
      <c r="B10" s="30">
        <v>1967</v>
      </c>
      <c r="C10" s="57">
        <v>0.6055984780775715</v>
      </c>
    </row>
    <row r="11" spans="1:3">
      <c r="B11" s="30">
        <v>1968</v>
      </c>
      <c r="C11" s="57">
        <v>0.60988656089009652</v>
      </c>
    </row>
    <row r="12" spans="1:3">
      <c r="B12" s="30">
        <v>1969</v>
      </c>
      <c r="C12" s="57">
        <v>0.62358978205186111</v>
      </c>
    </row>
    <row r="13" spans="1:3">
      <c r="B13" s="30">
        <v>1970</v>
      </c>
      <c r="C13" s="57">
        <v>0.61822967853620481</v>
      </c>
    </row>
    <row r="14" spans="1:3">
      <c r="B14" s="30">
        <v>1971</v>
      </c>
      <c r="C14" s="57">
        <v>0.64885218296912761</v>
      </c>
    </row>
    <row r="15" spans="1:3">
      <c r="B15" s="30">
        <v>1972</v>
      </c>
      <c r="C15" s="57">
        <v>0.70841924638659359</v>
      </c>
    </row>
    <row r="16" spans="1:3">
      <c r="B16" s="30">
        <v>1973</v>
      </c>
      <c r="C16" s="57">
        <v>0.79935456776959513</v>
      </c>
    </row>
    <row r="17" spans="2:3">
      <c r="B17" s="30">
        <v>1974</v>
      </c>
      <c r="C17" s="57">
        <v>1.0007080215751145</v>
      </c>
    </row>
    <row r="18" spans="2:3">
      <c r="B18" s="30">
        <v>1975</v>
      </c>
      <c r="C18" s="57">
        <v>1.0676860107229222</v>
      </c>
    </row>
    <row r="19" spans="2:3">
      <c r="B19" s="30">
        <v>1976</v>
      </c>
      <c r="C19" s="57">
        <v>1.1154608464059448</v>
      </c>
    </row>
    <row r="20" spans="2:3">
      <c r="B20" s="30">
        <v>1977</v>
      </c>
      <c r="C20" s="57">
        <v>1.2198663409717696</v>
      </c>
    </row>
    <row r="21" spans="2:3">
      <c r="B21" s="30">
        <v>1978</v>
      </c>
      <c r="C21" s="57">
        <v>1.3499071132211673</v>
      </c>
    </row>
    <row r="22" spans="2:3">
      <c r="B22" s="30">
        <v>1979</v>
      </c>
      <c r="C22" s="57">
        <v>1.7301015860664497</v>
      </c>
    </row>
    <row r="23" spans="2:3">
      <c r="B23" s="30">
        <v>1980</v>
      </c>
      <c r="C23" s="57">
        <v>2.1184061285788984</v>
      </c>
    </row>
    <row r="24" spans="2:3">
      <c r="B24" s="30">
        <v>1981</v>
      </c>
      <c r="C24" s="57">
        <v>2.4142275476339088</v>
      </c>
    </row>
    <row r="25" spans="2:3">
      <c r="B25" s="30">
        <v>1982</v>
      </c>
      <c r="C25" s="57">
        <v>2.5776706467060682</v>
      </c>
    </row>
    <row r="26" spans="2:3">
      <c r="B26" s="30">
        <v>1983</v>
      </c>
      <c r="C26" s="57">
        <v>2.92450184506114</v>
      </c>
    </row>
    <row r="27" spans="2:3">
      <c r="B27" s="30">
        <v>1984</v>
      </c>
      <c r="C27" s="57">
        <v>3.5180862318642396</v>
      </c>
    </row>
    <row r="28" spans="2:3">
      <c r="B28" s="30">
        <v>1985</v>
      </c>
      <c r="C28" s="57">
        <v>4.4050209757493386</v>
      </c>
    </row>
    <row r="29" spans="2:3">
      <c r="B29" s="30">
        <v>1986</v>
      </c>
      <c r="C29" s="57">
        <v>5.8036420524748173</v>
      </c>
    </row>
    <row r="30" spans="2:3">
      <c r="B30" s="30">
        <v>1987</v>
      </c>
      <c r="C30" s="57">
        <v>7.0690022870842268</v>
      </c>
    </row>
    <row r="31" spans="2:3">
      <c r="B31" s="30">
        <v>1988</v>
      </c>
      <c r="C31" s="57">
        <v>8.6967261095933583</v>
      </c>
    </row>
    <row r="32" spans="2:3">
      <c r="B32" s="30">
        <v>1989</v>
      </c>
      <c r="C32" s="57">
        <v>10.955453257354078</v>
      </c>
    </row>
    <row r="33" spans="2:3">
      <c r="B33" s="30">
        <v>1990</v>
      </c>
      <c r="C33" s="57">
        <v>15.138784673238799</v>
      </c>
    </row>
    <row r="34" spans="2:3">
      <c r="B34" s="30">
        <v>1991</v>
      </c>
      <c r="C34" s="57">
        <v>18.813077322682801</v>
      </c>
    </row>
    <row r="35" spans="2:3">
      <c r="B35" s="30">
        <v>1992</v>
      </c>
      <c r="C35" s="57">
        <v>21.657975671327591</v>
      </c>
    </row>
    <row r="36" spans="2:3">
      <c r="B36" s="30">
        <v>1993</v>
      </c>
      <c r="C36" s="57">
        <v>25.612027837002017</v>
      </c>
    </row>
    <row r="37" spans="2:3">
      <c r="B37" s="30">
        <v>1994</v>
      </c>
      <c r="C37" s="57">
        <v>30.890216211358247</v>
      </c>
    </row>
    <row r="38" spans="2:3">
      <c r="B38" s="30">
        <v>1995</v>
      </c>
      <c r="C38" s="57">
        <v>35.027013577877305</v>
      </c>
    </row>
    <row r="39" spans="2:3">
      <c r="B39" s="30">
        <v>1996</v>
      </c>
      <c r="C39" s="57">
        <v>38.458804293737117</v>
      </c>
    </row>
    <row r="40" spans="2:3">
      <c r="B40" s="30">
        <v>1997</v>
      </c>
      <c r="C40" s="57">
        <v>41.13172673633327</v>
      </c>
    </row>
    <row r="41" spans="2:3">
      <c r="B41" s="30">
        <v>1998</v>
      </c>
      <c r="C41" s="57">
        <v>45.883983791853275</v>
      </c>
    </row>
    <row r="42" spans="2:3">
      <c r="B42" s="30">
        <v>1999</v>
      </c>
      <c r="C42" s="57">
        <v>48.981659202388578</v>
      </c>
    </row>
    <row r="43" spans="2:3">
      <c r="B43" s="30">
        <v>2000</v>
      </c>
      <c r="C43" s="57">
        <v>53.382028861875312</v>
      </c>
    </row>
    <row r="44" spans="2:3">
      <c r="B44" s="30">
        <v>2001</v>
      </c>
      <c r="C44" s="57">
        <v>57.261676263595653</v>
      </c>
    </row>
    <row r="45" spans="2:3">
      <c r="B45" s="30">
        <v>2002</v>
      </c>
      <c r="C45" s="57">
        <v>63.279306177578697</v>
      </c>
    </row>
    <row r="46" spans="2:3">
      <c r="B46" s="30">
        <v>2003</v>
      </c>
      <c r="C46" s="57">
        <v>72.282647330632003</v>
      </c>
    </row>
    <row r="47" spans="2:3">
      <c r="B47" s="30">
        <v>2004</v>
      </c>
      <c r="C47" s="57">
        <v>75.414089713513903</v>
      </c>
    </row>
    <row r="48" spans="2:3">
      <c r="B48" s="30">
        <v>2005</v>
      </c>
      <c r="C48" s="57">
        <v>80.537783464846797</v>
      </c>
    </row>
    <row r="49" spans="2:3">
      <c r="B49" s="30">
        <v>2006</v>
      </c>
      <c r="C49" s="57">
        <v>88.265088505011704</v>
      </c>
    </row>
    <row r="50" spans="2:3">
      <c r="B50" s="30">
        <v>2007</v>
      </c>
      <c r="C50" s="57">
        <v>95.44145873320538</v>
      </c>
    </row>
    <row r="51" spans="2:3">
      <c r="B51" s="30">
        <v>2008</v>
      </c>
      <c r="C51" s="57">
        <v>105.13333333333334</v>
      </c>
    </row>
    <row r="52" spans="2:3">
      <c r="B52" s="30">
        <v>2009</v>
      </c>
      <c r="C52" s="57">
        <v>107.85833333333335</v>
      </c>
    </row>
    <row r="53" spans="2:3">
      <c r="B53" s="30">
        <v>2010</v>
      </c>
      <c r="C53" s="57">
        <v>112.87500000000001</v>
      </c>
    </row>
    <row r="54" spans="2:3">
      <c r="B54" s="30">
        <v>2011</v>
      </c>
      <c r="C54" s="57">
        <v>122.19166666666666</v>
      </c>
    </row>
    <row r="55" spans="2:3">
      <c r="B55" s="30">
        <v>2012</v>
      </c>
      <c r="C55" s="57">
        <v>126.68333333333334</v>
      </c>
    </row>
    <row r="56" spans="2:3">
      <c r="B56" s="30">
        <v>2013</v>
      </c>
      <c r="C56" s="57">
        <v>130.08333333333334</v>
      </c>
    </row>
    <row r="57" spans="2:3">
      <c r="B57" s="30">
        <v>2014</v>
      </c>
      <c r="C57" s="57">
        <v>136.625</v>
      </c>
    </row>
  </sheetData>
  <hyperlinks>
    <hyperlink ref="A1" location="Índice!A1" display="Índice"/>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3" tint="0.59999389629810485"/>
  </sheetPr>
  <dimension ref="A1:C57"/>
  <sheetViews>
    <sheetView topLeftCell="A19" workbookViewId="0">
      <selection activeCell="C5" sqref="C5:C56"/>
    </sheetView>
  </sheetViews>
  <sheetFormatPr defaultColWidth="11.44140625" defaultRowHeight="14.4"/>
  <cols>
    <col min="3" max="3" width="12.44140625" customWidth="1"/>
  </cols>
  <sheetData>
    <row r="1" spans="1:3">
      <c r="A1" s="63" t="s">
        <v>166</v>
      </c>
      <c r="C1" s="47"/>
    </row>
    <row r="2" spans="1:3">
      <c r="B2" s="15" t="s">
        <v>88</v>
      </c>
      <c r="C2" s="15" t="s">
        <v>0</v>
      </c>
    </row>
    <row r="3" spans="1:3">
      <c r="B3" s="28">
        <v>1960</v>
      </c>
      <c r="C3" s="226">
        <v>8.1632653061219917E-2</v>
      </c>
    </row>
    <row r="4" spans="1:3">
      <c r="B4" s="28">
        <v>1961</v>
      </c>
      <c r="C4" s="226">
        <v>0.179245283018868</v>
      </c>
    </row>
    <row r="5" spans="1:3">
      <c r="B5" s="28">
        <v>1962</v>
      </c>
      <c r="C5" s="127">
        <v>2.0000000000000018E-2</v>
      </c>
    </row>
    <row r="6" spans="1:3">
      <c r="B6" s="28">
        <v>1963</v>
      </c>
      <c r="C6" s="127">
        <v>1.5686274509804088E-2</v>
      </c>
    </row>
    <row r="7" spans="1:3">
      <c r="B7" s="28">
        <v>1964</v>
      </c>
      <c r="C7" s="127">
        <v>5.044222772771989E-2</v>
      </c>
    </row>
    <row r="8" spans="1:3">
      <c r="B8" s="28">
        <v>1965</v>
      </c>
      <c r="C8" s="127">
        <v>3.9215686274509665E-2</v>
      </c>
    </row>
    <row r="9" spans="1:3">
      <c r="B9" s="28">
        <v>1966</v>
      </c>
      <c r="C9" s="127">
        <v>1.3207547169811429E-2</v>
      </c>
    </row>
    <row r="10" spans="1:3">
      <c r="B10" s="28">
        <v>1967</v>
      </c>
      <c r="C10" s="127">
        <v>5.5865921787707773E-3</v>
      </c>
    </row>
    <row r="11" spans="1:3">
      <c r="B11" s="28">
        <v>1968</v>
      </c>
      <c r="C11" s="127">
        <v>2.6851851851851904E-2</v>
      </c>
    </row>
    <row r="12" spans="1:3">
      <c r="B12" s="28">
        <v>1969</v>
      </c>
      <c r="C12" s="127">
        <v>-2.7051397655546428E-3</v>
      </c>
    </row>
    <row r="13" spans="1:3">
      <c r="B13" s="28">
        <v>1970</v>
      </c>
      <c r="C13" s="127">
        <v>2.2603978300180794E-2</v>
      </c>
    </row>
    <row r="14" spans="1:3">
      <c r="B14" s="28">
        <v>1971</v>
      </c>
      <c r="C14" s="127">
        <v>6.2776304155614637E-2</v>
      </c>
    </row>
    <row r="15" spans="1:3">
      <c r="B15" s="28">
        <v>1972</v>
      </c>
      <c r="C15" s="127">
        <v>9.4841930116472462E-2</v>
      </c>
    </row>
    <row r="16" spans="1:3">
      <c r="B16" s="28">
        <v>1973</v>
      </c>
      <c r="C16" s="127">
        <v>0.14133738601823698</v>
      </c>
    </row>
    <row r="17" spans="2:3">
      <c r="B17" s="28">
        <v>1974</v>
      </c>
      <c r="C17" s="127">
        <v>0.2197070572569908</v>
      </c>
    </row>
    <row r="18" spans="2:3">
      <c r="B18" s="28">
        <v>1975</v>
      </c>
      <c r="C18" s="127">
        <v>8.6790393013100431E-2</v>
      </c>
    </row>
    <row r="19" spans="2:3">
      <c r="B19" s="28">
        <v>1976</v>
      </c>
      <c r="C19" s="127">
        <v>3.3651431441486634E-2</v>
      </c>
    </row>
    <row r="20" spans="2:3">
      <c r="B20" s="28">
        <v>1977</v>
      </c>
      <c r="C20" s="127">
        <v>9.3780369290573207E-2</v>
      </c>
    </row>
    <row r="21" spans="2:3">
      <c r="B21" s="28">
        <v>1978</v>
      </c>
      <c r="C21" s="127">
        <v>0.16836961350510871</v>
      </c>
    </row>
    <row r="22" spans="2:3">
      <c r="B22" s="28">
        <v>1979</v>
      </c>
      <c r="C22" s="127">
        <v>0.35703422053231959</v>
      </c>
    </row>
    <row r="23" spans="2:3">
      <c r="B23" s="28">
        <v>1980</v>
      </c>
      <c r="C23" s="127">
        <v>0.15017255226305104</v>
      </c>
    </row>
    <row r="24" spans="2:3">
      <c r="B24" s="28">
        <v>1981</v>
      </c>
      <c r="C24" s="127">
        <v>8.1180811808118092E-2</v>
      </c>
    </row>
    <row r="25" spans="2:3">
      <c r="B25" s="28">
        <v>1982</v>
      </c>
      <c r="C25" s="127">
        <v>8.8737201365187701E-2</v>
      </c>
    </row>
    <row r="26" spans="2:3">
      <c r="B26" s="28">
        <v>1983</v>
      </c>
      <c r="C26" s="127">
        <v>0.14106583072100309</v>
      </c>
    </row>
    <row r="27" spans="2:3">
      <c r="B27" s="28">
        <v>1984</v>
      </c>
      <c r="C27" s="127">
        <v>0.29807692307692291</v>
      </c>
    </row>
    <row r="28" spans="2:3">
      <c r="B28" s="28">
        <v>1985</v>
      </c>
      <c r="C28" s="127">
        <v>0.23068783068783083</v>
      </c>
    </row>
    <row r="29" spans="2:3">
      <c r="B29" s="28">
        <v>1986</v>
      </c>
      <c r="C29" s="127">
        <v>0.24118658641444535</v>
      </c>
    </row>
    <row r="30" spans="2:3">
      <c r="B30" s="28">
        <v>1987</v>
      </c>
      <c r="C30" s="127">
        <v>0.32040180117769324</v>
      </c>
    </row>
    <row r="31" spans="2:3">
      <c r="B31" s="28">
        <v>1988</v>
      </c>
      <c r="C31" s="127">
        <v>0.16946484784889826</v>
      </c>
    </row>
    <row r="32" spans="2:3">
      <c r="B32" s="28">
        <v>1989</v>
      </c>
      <c r="C32" s="127">
        <v>0.28532974427994606</v>
      </c>
    </row>
    <row r="33" spans="2:3">
      <c r="B33" s="28">
        <v>1990</v>
      </c>
      <c r="C33" s="127">
        <v>0.44066317626527063</v>
      </c>
    </row>
    <row r="34" spans="2:3">
      <c r="B34" s="28">
        <v>1991</v>
      </c>
      <c r="C34" s="127">
        <v>0.11811023622047245</v>
      </c>
    </row>
    <row r="35" spans="2:3">
      <c r="B35" s="28">
        <v>1992</v>
      </c>
      <c r="C35" s="127">
        <v>0.17811484290357549</v>
      </c>
    </row>
    <row r="36" spans="2:3">
      <c r="B36" s="28">
        <v>1993</v>
      </c>
      <c r="C36" s="127">
        <v>0.20406474158543286</v>
      </c>
    </row>
    <row r="37" spans="2:3">
      <c r="B37" s="45">
        <v>1994</v>
      </c>
      <c r="C37" s="127">
        <v>0.18276941877339037</v>
      </c>
    </row>
    <row r="38" spans="2:3">
      <c r="B38" s="45">
        <v>1995</v>
      </c>
      <c r="C38" s="127">
        <v>0.10533159947984405</v>
      </c>
    </row>
    <row r="39" spans="2:3">
      <c r="B39" s="28">
        <v>1996</v>
      </c>
      <c r="C39" s="127">
        <v>8.1764705882352962E-2</v>
      </c>
    </row>
    <row r="40" spans="2:3">
      <c r="B40" s="28">
        <v>1997</v>
      </c>
      <c r="C40" s="127">
        <v>6.1990212071778128E-2</v>
      </c>
    </row>
    <row r="41" spans="2:3">
      <c r="B41" s="28">
        <v>1998</v>
      </c>
      <c r="C41" s="127">
        <v>0.14644137224782372</v>
      </c>
    </row>
    <row r="42" spans="2:3">
      <c r="B42" s="28">
        <v>1999</v>
      </c>
      <c r="C42" s="127">
        <v>5.4041983028137563E-2</v>
      </c>
    </row>
    <row r="43" spans="2:3">
      <c r="B43" s="28">
        <v>2000</v>
      </c>
      <c r="C43" s="127">
        <v>8.6440677966101553E-2</v>
      </c>
    </row>
    <row r="44" spans="2:3">
      <c r="B44" s="28">
        <v>2001</v>
      </c>
      <c r="C44" s="127">
        <v>8.3853354134165503E-2</v>
      </c>
    </row>
    <row r="45" spans="2:3">
      <c r="B45" s="28">
        <v>2002</v>
      </c>
      <c r="C45" s="127">
        <v>0.14645555955379663</v>
      </c>
    </row>
    <row r="46" spans="2:3">
      <c r="B46" s="28">
        <v>2003</v>
      </c>
      <c r="C46" s="127">
        <v>9.3220338983050821E-2</v>
      </c>
    </row>
    <row r="47" spans="2:3">
      <c r="B47" s="28">
        <v>2004</v>
      </c>
      <c r="C47" s="127">
        <v>2.8136663795578443E-2</v>
      </c>
    </row>
    <row r="48" spans="2:3">
      <c r="B48" s="28">
        <v>2005</v>
      </c>
      <c r="C48" s="127">
        <v>9.8575816810946515E-2</v>
      </c>
    </row>
    <row r="49" spans="2:3">
      <c r="B49" s="28">
        <v>2006</v>
      </c>
      <c r="C49" s="127">
        <v>0.12480935434672102</v>
      </c>
    </row>
    <row r="50" spans="2:3">
      <c r="B50" s="28">
        <v>2007</v>
      </c>
      <c r="C50" s="127">
        <v>5.966101694915249E-2</v>
      </c>
    </row>
    <row r="51" spans="2:3">
      <c r="B51" s="28">
        <v>2008</v>
      </c>
      <c r="C51" s="127">
        <v>7.4999999999999956E-2</v>
      </c>
    </row>
    <row r="52" spans="2:3">
      <c r="B52" s="28">
        <v>2009</v>
      </c>
      <c r="C52" s="127">
        <v>1.8604651162790642E-2</v>
      </c>
    </row>
    <row r="53" spans="2:3">
      <c r="B53" s="28">
        <v>2010</v>
      </c>
      <c r="C53" s="127">
        <v>7.214611872146115E-2</v>
      </c>
    </row>
    <row r="54" spans="2:3">
      <c r="B54" s="28">
        <v>2011</v>
      </c>
      <c r="C54" s="127">
        <v>4.9403747870528036E-2</v>
      </c>
    </row>
    <row r="55" spans="2:3">
      <c r="B55" s="28">
        <v>2012</v>
      </c>
      <c r="C55" s="127">
        <v>3.9772727272727293E-2</v>
      </c>
    </row>
    <row r="56" spans="2:3">
      <c r="B56" s="28">
        <v>2013</v>
      </c>
      <c r="C56" s="127">
        <v>3.7470725995316201E-2</v>
      </c>
    </row>
    <row r="57" spans="2:3">
      <c r="B57" s="28">
        <v>2014</v>
      </c>
      <c r="C57" s="10"/>
    </row>
  </sheetData>
  <hyperlinks>
    <hyperlink ref="A1" location="Índice!A1" display="Índice"/>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6" tint="0.39997558519241921"/>
  </sheetPr>
  <dimension ref="A1:C60"/>
  <sheetViews>
    <sheetView workbookViewId="0"/>
  </sheetViews>
  <sheetFormatPr defaultColWidth="11.44140625" defaultRowHeight="14.4"/>
  <cols>
    <col min="3" max="3" width="21" customWidth="1"/>
  </cols>
  <sheetData>
    <row r="1" spans="1:3">
      <c r="A1" s="63" t="s">
        <v>166</v>
      </c>
    </row>
    <row r="2" spans="1:3" ht="28.8">
      <c r="B2" s="15" t="s">
        <v>88</v>
      </c>
      <c r="C2" s="15" t="s">
        <v>118</v>
      </c>
    </row>
    <row r="3" spans="1:3">
      <c r="B3" s="28">
        <v>1960</v>
      </c>
      <c r="C3" s="12">
        <v>-12.664</v>
      </c>
    </row>
    <row r="4" spans="1:3">
      <c r="B4" s="28">
        <v>1961</v>
      </c>
      <c r="C4" s="12">
        <v>-13.159000000000001</v>
      </c>
    </row>
    <row r="5" spans="1:3">
      <c r="B5" s="28">
        <v>1962</v>
      </c>
      <c r="C5" s="12">
        <v>-9.4629999999999992</v>
      </c>
    </row>
    <row r="6" spans="1:3">
      <c r="B6" s="28">
        <v>1963</v>
      </c>
      <c r="C6" s="12">
        <v>-8.4749999999999996</v>
      </c>
    </row>
    <row r="7" spans="1:3">
      <c r="B7" s="28">
        <v>1964</v>
      </c>
      <c r="C7" s="12">
        <v>-12.898</v>
      </c>
    </row>
    <row r="8" spans="1:3">
      <c r="B8" s="28">
        <v>1965</v>
      </c>
      <c r="C8" s="12">
        <v>-8.3650000000000002</v>
      </c>
    </row>
    <row r="9" spans="1:3">
      <c r="B9" s="28">
        <v>1966</v>
      </c>
      <c r="C9" s="12">
        <v>-17.928000000000001</v>
      </c>
    </row>
    <row r="10" spans="1:3">
      <c r="B10" s="28">
        <v>1967</v>
      </c>
      <c r="C10" s="12">
        <v>-29.734000000000002</v>
      </c>
    </row>
    <row r="11" spans="1:3">
      <c r="B11" s="28">
        <v>1968</v>
      </c>
      <c r="C11" s="12">
        <v>-36.295000000000002</v>
      </c>
    </row>
    <row r="12" spans="1:3">
      <c r="B12" s="28">
        <v>1969</v>
      </c>
      <c r="C12" s="12">
        <v>-37.97</v>
      </c>
    </row>
    <row r="13" spans="1:3">
      <c r="B13" s="28">
        <v>1970</v>
      </c>
      <c r="C13" s="12">
        <v>-21.57</v>
      </c>
    </row>
    <row r="14" spans="1:3">
      <c r="B14" s="28">
        <v>1971</v>
      </c>
      <c r="C14" s="12">
        <v>-30.065000000000001</v>
      </c>
    </row>
    <row r="15" spans="1:3">
      <c r="B15" s="28">
        <v>1972</v>
      </c>
      <c r="C15" s="12">
        <v>-11.836</v>
      </c>
    </row>
    <row r="16" spans="1:3">
      <c r="B16" s="28">
        <v>1973</v>
      </c>
      <c r="C16" s="12">
        <v>-15.699</v>
      </c>
    </row>
    <row r="17" spans="2:3">
      <c r="B17" s="28">
        <v>1974</v>
      </c>
      <c r="C17" s="12">
        <v>-58.052999999999997</v>
      </c>
    </row>
    <row r="18" spans="2:3">
      <c r="B18" s="28">
        <v>1975</v>
      </c>
      <c r="C18" s="12">
        <v>-103.592</v>
      </c>
    </row>
    <row r="19" spans="2:3">
      <c r="B19" s="28">
        <v>1976</v>
      </c>
      <c r="C19" s="12">
        <v>-109.432</v>
      </c>
    </row>
    <row r="20" spans="2:3">
      <c r="B20" s="28">
        <v>1977</v>
      </c>
      <c r="C20" s="76">
        <v>-134.65899999999999</v>
      </c>
    </row>
    <row r="21" spans="2:3">
      <c r="B21" s="28">
        <v>1978</v>
      </c>
      <c r="C21" s="12">
        <v>-118.63800000000001</v>
      </c>
    </row>
    <row r="22" spans="2:3">
      <c r="B22" s="28">
        <v>1979</v>
      </c>
      <c r="C22" s="12">
        <v>-213.37200000000001</v>
      </c>
    </row>
    <row r="23" spans="2:3">
      <c r="B23" s="28">
        <v>1980</v>
      </c>
      <c r="C23" s="12">
        <v>-286.714</v>
      </c>
    </row>
    <row r="24" spans="2:3">
      <c r="B24" s="28">
        <v>1981</v>
      </c>
      <c r="C24" s="12">
        <v>-380.27699999999999</v>
      </c>
    </row>
    <row r="25" spans="2:3">
      <c r="B25" s="28">
        <v>1982</v>
      </c>
      <c r="C25" s="12">
        <v>-392.80500000000001</v>
      </c>
    </row>
    <row r="26" spans="2:3">
      <c r="B26" s="28">
        <v>1983</v>
      </c>
      <c r="C26" s="12">
        <v>-253.584</v>
      </c>
    </row>
    <row r="27" spans="2:3">
      <c r="B27" s="28">
        <v>1984</v>
      </c>
      <c r="C27" s="12">
        <v>-322.47899999999998</v>
      </c>
    </row>
    <row r="28" spans="2:3">
      <c r="B28" s="28">
        <v>1985</v>
      </c>
      <c r="C28" s="12">
        <v>-185.39400000000001</v>
      </c>
    </row>
    <row r="29" spans="2:3">
      <c r="B29" s="28">
        <v>1986</v>
      </c>
      <c r="C29" s="12">
        <v>-369.97300000000001</v>
      </c>
    </row>
    <row r="30" spans="2:3">
      <c r="B30" s="28">
        <v>1987</v>
      </c>
      <c r="C30" s="12">
        <v>-160.37100000000001</v>
      </c>
    </row>
    <row r="31" spans="2:3">
      <c r="B31" s="28">
        <v>1988</v>
      </c>
      <c r="C31" s="12">
        <v>-160.10900000000001</v>
      </c>
    </row>
    <row r="32" spans="2:3">
      <c r="B32" s="28">
        <v>1989</v>
      </c>
      <c r="C32" s="12">
        <v>-82.5</v>
      </c>
    </row>
    <row r="33" spans="2:3">
      <c r="B33" s="28">
        <v>1990</v>
      </c>
      <c r="C33" s="12">
        <v>-208.8</v>
      </c>
    </row>
    <row r="34" spans="2:3">
      <c r="B34" s="28">
        <v>1991</v>
      </c>
      <c r="C34" s="11">
        <v>-455.9</v>
      </c>
    </row>
    <row r="35" spans="2:3">
      <c r="B35" s="28">
        <v>1992</v>
      </c>
      <c r="C35" s="11">
        <v>-389.9</v>
      </c>
    </row>
    <row r="36" spans="2:3">
      <c r="B36" s="28">
        <v>1993</v>
      </c>
      <c r="C36" s="11">
        <v>-834</v>
      </c>
    </row>
    <row r="37" spans="2:3">
      <c r="B37" s="45">
        <v>1994</v>
      </c>
      <c r="C37" s="42">
        <v>-1060</v>
      </c>
    </row>
    <row r="38" spans="2:3">
      <c r="B38" s="45">
        <v>1995</v>
      </c>
      <c r="C38" s="42">
        <v>-92.3392565664183</v>
      </c>
    </row>
    <row r="39" spans="2:3">
      <c r="B39" s="28">
        <v>1996</v>
      </c>
      <c r="C39" s="12">
        <v>-352.91875185072956</v>
      </c>
    </row>
    <row r="40" spans="2:3">
      <c r="B40" s="28">
        <v>1997</v>
      </c>
      <c r="C40" s="12">
        <v>-650.44050026709522</v>
      </c>
    </row>
    <row r="41" spans="2:3">
      <c r="B41" s="28">
        <v>1998</v>
      </c>
      <c r="C41" s="12">
        <v>-159.95139988186881</v>
      </c>
    </row>
    <row r="42" spans="2:3">
      <c r="B42" s="28">
        <v>1999</v>
      </c>
      <c r="C42" s="12">
        <v>-165.39999999999949</v>
      </c>
    </row>
    <row r="43" spans="2:3">
      <c r="B43" s="28">
        <v>2000</v>
      </c>
      <c r="C43" s="12">
        <v>-162.82800000000003</v>
      </c>
    </row>
    <row r="44" spans="2:3">
      <c r="B44" s="28">
        <v>2001</v>
      </c>
      <c r="C44" s="12">
        <v>-266.35999999999956</v>
      </c>
    </row>
    <row r="45" spans="2:3">
      <c r="B45" s="28">
        <v>2002</v>
      </c>
      <c r="C45" s="12">
        <v>92.600228740581798</v>
      </c>
    </row>
    <row r="46" spans="2:3">
      <c r="B46" s="28">
        <v>2003</v>
      </c>
      <c r="C46" s="12">
        <v>129.46925229607498</v>
      </c>
    </row>
    <row r="47" spans="2:3">
      <c r="B47" s="28">
        <v>2004</v>
      </c>
      <c r="C47" s="12">
        <v>143.00410455079111</v>
      </c>
    </row>
    <row r="48" spans="2:3">
      <c r="B48" s="28">
        <v>2005</v>
      </c>
      <c r="C48" s="12">
        <v>16.010909192516721</v>
      </c>
    </row>
    <row r="49" spans="2:3">
      <c r="B49" s="28">
        <v>2006</v>
      </c>
      <c r="C49" s="12">
        <v>127.67611677686176</v>
      </c>
    </row>
    <row r="50" spans="2:3">
      <c r="B50" s="28">
        <v>2007</v>
      </c>
      <c r="C50" s="12">
        <v>184.24075319596906</v>
      </c>
    </row>
    <row r="51" spans="2:3">
      <c r="B51" s="28">
        <v>2008</v>
      </c>
      <c r="C51" s="12">
        <v>-318.76128999605953</v>
      </c>
    </row>
    <row r="52" spans="2:3">
      <c r="B52" s="28">
        <v>2009</v>
      </c>
      <c r="C52" s="12">
        <v>67.727046142562131</v>
      </c>
    </row>
    <row r="53" spans="2:3">
      <c r="B53" s="28">
        <v>2010</v>
      </c>
      <c r="C53" s="12">
        <v>-653.5673161026192</v>
      </c>
    </row>
    <row r="54" spans="2:3">
      <c r="B54" s="28">
        <v>2011</v>
      </c>
      <c r="C54" s="12">
        <v>-270.17410605085558</v>
      </c>
    </row>
    <row r="55" spans="2:3">
      <c r="B55" s="28">
        <v>2012</v>
      </c>
      <c r="C55" s="12"/>
    </row>
    <row r="56" spans="2:3">
      <c r="B56" s="28">
        <v>2013</v>
      </c>
      <c r="C56" s="12"/>
    </row>
    <row r="57" spans="2:3">
      <c r="B57" s="28">
        <v>2014</v>
      </c>
      <c r="C57" s="12"/>
    </row>
    <row r="58" spans="2:3">
      <c r="C58" s="5" t="s">
        <v>49</v>
      </c>
    </row>
    <row r="60" spans="2:3">
      <c r="C60" t="s">
        <v>119</v>
      </c>
    </row>
  </sheetData>
  <hyperlinks>
    <hyperlink ref="A1" location="Índice!A1" display="Índice"/>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AW127"/>
  <sheetViews>
    <sheetView zoomScale="70" zoomScaleNormal="70" zoomScaleSheetLayoutView="50" zoomScalePageLayoutView="70" workbookViewId="0">
      <pane xSplit="2" ySplit="4" topLeftCell="C5" activePane="bottomRight" state="frozen"/>
      <selection pane="topRight" activeCell="B1" sqref="B1"/>
      <selection pane="bottomLeft" activeCell="A3" sqref="A3"/>
      <selection pane="bottomRight" activeCell="B1" sqref="B1"/>
    </sheetView>
  </sheetViews>
  <sheetFormatPr defaultColWidth="11.44140625" defaultRowHeight="14.4"/>
  <cols>
    <col min="1" max="1" width="11.44140625" style="43"/>
    <col min="2" max="2" width="6.44140625" style="298" customWidth="1"/>
    <col min="3" max="13" width="13.88671875" style="298" customWidth="1"/>
    <col min="14" max="16" width="13.88671875" style="43" customWidth="1"/>
    <col min="17" max="19" width="13.88671875" style="298" customWidth="1"/>
    <col min="20" max="40" width="11.44140625" style="43"/>
    <col min="41" max="41" width="23.6640625" style="43" bestFit="1" customWidth="1"/>
    <col min="42" max="16384" width="11.44140625" style="43"/>
  </cols>
  <sheetData>
    <row r="1" spans="1:49" ht="24" customHeight="1">
      <c r="A1" s="265"/>
      <c r="B1" s="297"/>
      <c r="C1" s="297"/>
      <c r="D1" s="297"/>
      <c r="E1" s="297"/>
      <c r="F1" s="297"/>
      <c r="G1" s="297"/>
      <c r="H1" s="297"/>
      <c r="I1" s="297"/>
      <c r="J1" s="297"/>
      <c r="K1" s="297"/>
      <c r="L1" s="297"/>
      <c r="M1" s="297"/>
      <c r="N1" s="265"/>
      <c r="O1" s="265"/>
      <c r="P1" s="265"/>
      <c r="Q1" s="297"/>
      <c r="R1" s="297"/>
      <c r="S1" s="297"/>
    </row>
    <row r="2" spans="1:49" s="220" customFormat="1" ht="28.5" customHeight="1">
      <c r="A2" s="348"/>
      <c r="B2" s="354"/>
      <c r="C2" s="381"/>
      <c r="D2" s="381"/>
      <c r="E2" s="410"/>
      <c r="F2" s="410"/>
      <c r="G2" s="417"/>
      <c r="H2" s="417"/>
      <c r="I2" s="417"/>
      <c r="J2" s="417"/>
      <c r="K2" s="417"/>
      <c r="L2" s="417"/>
      <c r="M2" s="417"/>
      <c r="N2" s="417"/>
      <c r="O2" s="417"/>
      <c r="P2" s="417"/>
      <c r="Q2" s="417"/>
      <c r="R2" s="417"/>
      <c r="S2" s="417"/>
      <c r="T2" s="348"/>
      <c r="U2" s="348"/>
    </row>
    <row r="3" spans="1:49" s="220" customFormat="1" ht="80.25" customHeight="1" thickBot="1">
      <c r="A3" s="418"/>
      <c r="B3" s="382"/>
      <c r="C3" s="405" t="s">
        <v>579</v>
      </c>
      <c r="D3" s="405" t="s">
        <v>577</v>
      </c>
      <c r="E3" s="405" t="s">
        <v>581</v>
      </c>
      <c r="F3" s="405" t="s">
        <v>581</v>
      </c>
      <c r="G3" s="405" t="s">
        <v>572</v>
      </c>
      <c r="H3" s="405" t="s">
        <v>574</v>
      </c>
      <c r="I3" s="405" t="s">
        <v>570</v>
      </c>
      <c r="J3" s="405" t="s">
        <v>571</v>
      </c>
      <c r="K3" s="405" t="s">
        <v>573</v>
      </c>
      <c r="L3" s="405" t="s">
        <v>572</v>
      </c>
      <c r="M3" s="405" t="s">
        <v>574</v>
      </c>
      <c r="N3" s="405" t="s">
        <v>602</v>
      </c>
      <c r="O3" s="405" t="s">
        <v>575</v>
      </c>
      <c r="P3" s="405" t="s">
        <v>576</v>
      </c>
      <c r="Q3" s="405" t="s">
        <v>571</v>
      </c>
      <c r="R3" s="405" t="s">
        <v>570</v>
      </c>
      <c r="S3" s="405" t="s">
        <v>573</v>
      </c>
      <c r="T3" s="348"/>
      <c r="U3" s="348"/>
    </row>
    <row r="4" spans="1:49" ht="27.6" thickTop="1" thickBot="1">
      <c r="A4" s="265"/>
      <c r="B4" s="382" t="s">
        <v>563</v>
      </c>
      <c r="C4" s="423" t="s">
        <v>568</v>
      </c>
      <c r="D4" s="423" t="s">
        <v>578</v>
      </c>
      <c r="E4" s="423" t="s">
        <v>580</v>
      </c>
      <c r="F4" s="423" t="s">
        <v>568</v>
      </c>
      <c r="G4" s="423" t="s">
        <v>568</v>
      </c>
      <c r="H4" s="423" t="s">
        <v>568</v>
      </c>
      <c r="I4" s="423" t="s">
        <v>568</v>
      </c>
      <c r="J4" s="423" t="s">
        <v>568</v>
      </c>
      <c r="K4" s="423" t="s">
        <v>568</v>
      </c>
      <c r="L4" s="423" t="s">
        <v>569</v>
      </c>
      <c r="M4" s="423" t="s">
        <v>569</v>
      </c>
      <c r="N4" s="423" t="s">
        <v>569</v>
      </c>
      <c r="O4" s="423" t="s">
        <v>569</v>
      </c>
      <c r="P4" s="423" t="s">
        <v>569</v>
      </c>
      <c r="Q4" s="423" t="s">
        <v>569</v>
      </c>
      <c r="R4" s="423" t="s">
        <v>569</v>
      </c>
      <c r="S4" s="423" t="s">
        <v>569</v>
      </c>
    </row>
    <row r="5" spans="1:49" ht="15" thickTop="1">
      <c r="A5" s="265"/>
      <c r="B5" s="416">
        <v>1960</v>
      </c>
      <c r="C5" s="299">
        <v>31981.901037491996</v>
      </c>
      <c r="D5" s="299">
        <v>123.166702270508</v>
      </c>
      <c r="E5" s="299">
        <v>0.79100000000000004</v>
      </c>
      <c r="F5" s="299"/>
      <c r="G5" s="299"/>
      <c r="H5" s="297"/>
      <c r="I5" s="299"/>
      <c r="J5" s="299"/>
      <c r="K5" s="299"/>
      <c r="L5" s="297"/>
      <c r="M5" s="297"/>
      <c r="N5" s="413"/>
      <c r="O5" s="413"/>
      <c r="P5" s="413"/>
      <c r="Q5" s="297"/>
      <c r="R5" s="299"/>
      <c r="S5" s="297"/>
      <c r="AM5" s="265"/>
      <c r="AN5" s="265"/>
      <c r="AO5" s="265"/>
      <c r="AP5" s="265"/>
      <c r="AQ5" s="265"/>
      <c r="AR5" s="265"/>
      <c r="AS5" s="265"/>
      <c r="AT5" s="265"/>
      <c r="AU5" s="265"/>
      <c r="AV5" s="265"/>
      <c r="AW5" s="265"/>
    </row>
    <row r="6" spans="1:49">
      <c r="A6" s="265"/>
      <c r="B6" s="416">
        <v>1961</v>
      </c>
      <c r="C6" s="299">
        <v>36474.200093024279</v>
      </c>
      <c r="D6" s="299">
        <v>126</v>
      </c>
      <c r="E6" s="299">
        <v>0.96499999999999997</v>
      </c>
      <c r="F6" s="318">
        <f t="shared" ref="F6:F37" si="0">((E6*D6))</f>
        <v>121.58999999999999</v>
      </c>
      <c r="G6" s="299"/>
      <c r="H6" s="311"/>
      <c r="I6" s="299"/>
      <c r="J6" s="299"/>
      <c r="K6" s="299"/>
      <c r="L6" s="297"/>
      <c r="M6" s="312"/>
      <c r="N6" s="413"/>
      <c r="O6" s="413"/>
      <c r="P6" s="413"/>
      <c r="Q6" s="297"/>
      <c r="R6" s="299"/>
      <c r="S6" s="297"/>
      <c r="AM6" s="265"/>
      <c r="AN6" s="265"/>
      <c r="AO6" s="265"/>
      <c r="AP6" s="265"/>
      <c r="AQ6" s="265"/>
      <c r="AR6" s="265"/>
      <c r="AS6" s="265"/>
      <c r="AT6" s="265"/>
      <c r="AU6" s="265"/>
      <c r="AV6" s="265"/>
      <c r="AW6" s="265"/>
    </row>
    <row r="7" spans="1:49">
      <c r="A7" s="265"/>
      <c r="B7" s="416">
        <v>1962</v>
      </c>
      <c r="C7" s="299">
        <v>40850.90635601955</v>
      </c>
      <c r="D7" s="299">
        <v>126</v>
      </c>
      <c r="E7" s="299">
        <v>1.008</v>
      </c>
      <c r="F7" s="318">
        <f t="shared" si="0"/>
        <v>127.008</v>
      </c>
      <c r="G7" s="299">
        <v>-147.60000000000036</v>
      </c>
      <c r="H7" s="314">
        <f t="shared" ref="H7:H38" si="1">+(G7+F7)*-1</f>
        <v>20.592000000000368</v>
      </c>
      <c r="I7" s="299">
        <v>-21</v>
      </c>
      <c r="J7" s="299">
        <v>-158.60000000000036</v>
      </c>
      <c r="K7" s="299">
        <f t="shared" ref="K7:K23" si="2">+G7-I7-J7</f>
        <v>32</v>
      </c>
      <c r="L7" s="313">
        <f t="shared" ref="L7:L38" si="3">+G7/C7*-1</f>
        <v>3.6131389280240752E-3</v>
      </c>
      <c r="M7" s="313">
        <f t="shared" ref="M7:M38" si="4">+H7/C7</f>
        <v>5.0407694312922023E-4</v>
      </c>
      <c r="N7" s="413"/>
      <c r="O7" s="355">
        <f t="shared" ref="O7:O38" si="5">L7+N7</f>
        <v>3.6131389280240752E-3</v>
      </c>
      <c r="P7" s="355">
        <f t="shared" ref="P7:P38" si="6">M7+N7</f>
        <v>5.0407694312922023E-4</v>
      </c>
      <c r="Q7" s="313">
        <f t="shared" ref="Q7:Q23" si="7">+I7/C7*-1</f>
        <v>5.1406448162944038E-4</v>
      </c>
      <c r="R7" s="313">
        <f t="shared" ref="R7:R23" si="8">+I7/C7*-1</f>
        <v>5.1406448162944038E-4</v>
      </c>
      <c r="S7" s="313">
        <f t="shared" ref="S7:S23" si="9">+K7/C7*-1</f>
        <v>-7.8333635295914719E-4</v>
      </c>
      <c r="T7" s="352"/>
      <c r="AM7" s="265"/>
      <c r="AN7" s="265"/>
      <c r="AO7" s="265"/>
      <c r="AP7" s="265"/>
      <c r="AQ7" s="265"/>
      <c r="AR7" s="265"/>
      <c r="AS7" s="265"/>
      <c r="AT7" s="265"/>
      <c r="AU7" s="265"/>
      <c r="AV7" s="265"/>
      <c r="AW7" s="265"/>
    </row>
    <row r="8" spans="1:49">
      <c r="A8" s="265"/>
      <c r="B8" s="416">
        <v>1963</v>
      </c>
      <c r="C8" s="299">
        <v>43439.426657305405</v>
      </c>
      <c r="D8" s="299">
        <v>126</v>
      </c>
      <c r="E8" s="299">
        <v>1.2689999999999999</v>
      </c>
      <c r="F8" s="318">
        <f t="shared" si="0"/>
        <v>159.89399999999998</v>
      </c>
      <c r="G8" s="299">
        <v>-428.89999999999964</v>
      </c>
      <c r="H8" s="314">
        <f t="shared" si="1"/>
        <v>269.00599999999963</v>
      </c>
      <c r="I8" s="299">
        <v>-3</v>
      </c>
      <c r="J8" s="299">
        <v>-368.89999999999964</v>
      </c>
      <c r="K8" s="299">
        <f t="shared" si="2"/>
        <v>-57</v>
      </c>
      <c r="L8" s="313">
        <f t="shared" si="3"/>
        <v>9.8735188975582304E-3</v>
      </c>
      <c r="M8" s="313">
        <f t="shared" si="4"/>
        <v>6.192669210903585E-3</v>
      </c>
      <c r="N8" s="413"/>
      <c r="O8" s="355">
        <f t="shared" si="5"/>
        <v>9.8735188975582304E-3</v>
      </c>
      <c r="P8" s="355">
        <f t="shared" si="6"/>
        <v>6.192669210903585E-3</v>
      </c>
      <c r="Q8" s="313">
        <f t="shared" si="7"/>
        <v>6.9061684991081172E-5</v>
      </c>
      <c r="R8" s="313">
        <f t="shared" si="8"/>
        <v>6.9061684991081172E-5</v>
      </c>
      <c r="S8" s="313">
        <f t="shared" si="9"/>
        <v>1.3121720148305423E-3</v>
      </c>
      <c r="T8" s="352"/>
      <c r="AM8" s="265"/>
      <c r="AN8" s="265"/>
      <c r="AO8" s="265"/>
      <c r="AP8" s="265"/>
      <c r="AQ8" s="265"/>
      <c r="AR8" s="265"/>
      <c r="AS8" s="265"/>
      <c r="AT8" s="265"/>
      <c r="AU8" s="265"/>
      <c r="AV8" s="265"/>
      <c r="AW8" s="265"/>
    </row>
    <row r="9" spans="1:49">
      <c r="A9" s="265"/>
      <c r="B9" s="416">
        <v>1964</v>
      </c>
      <c r="C9" s="299">
        <v>46286.816862199667</v>
      </c>
      <c r="D9" s="299">
        <v>144</v>
      </c>
      <c r="E9" s="299">
        <v>1.411</v>
      </c>
      <c r="F9" s="318">
        <f t="shared" si="0"/>
        <v>203.184</v>
      </c>
      <c r="G9" s="299">
        <v>-362.59999999999945</v>
      </c>
      <c r="H9" s="314">
        <f t="shared" si="1"/>
        <v>159.41599999999946</v>
      </c>
      <c r="I9" s="299">
        <v>142</v>
      </c>
      <c r="J9" s="299">
        <v>-474.59999999999945</v>
      </c>
      <c r="K9" s="299">
        <f t="shared" si="2"/>
        <v>-30</v>
      </c>
      <c r="L9" s="313">
        <f t="shared" si="3"/>
        <v>7.833764008432352E-3</v>
      </c>
      <c r="M9" s="313">
        <f t="shared" si="4"/>
        <v>3.4440907974855198E-3</v>
      </c>
      <c r="N9" s="413"/>
      <c r="O9" s="355">
        <f t="shared" si="5"/>
        <v>7.833764008432352E-3</v>
      </c>
      <c r="P9" s="355">
        <f t="shared" si="6"/>
        <v>3.4440907974855198E-3</v>
      </c>
      <c r="Q9" s="313">
        <f t="shared" si="7"/>
        <v>-3.067828155536116E-3</v>
      </c>
      <c r="R9" s="313">
        <f t="shared" si="8"/>
        <v>-3.067828155536116E-3</v>
      </c>
      <c r="S9" s="313">
        <f t="shared" si="9"/>
        <v>6.4813270891608083E-4</v>
      </c>
      <c r="T9" s="352"/>
      <c r="AM9" s="265"/>
      <c r="AN9" s="265"/>
      <c r="AO9" s="409"/>
      <c r="AP9" s="409"/>
      <c r="AQ9" s="409"/>
      <c r="AR9" s="409"/>
      <c r="AS9" s="409"/>
      <c r="AT9" s="409"/>
      <c r="AU9" s="265"/>
      <c r="AV9" s="265"/>
      <c r="AW9" s="265"/>
    </row>
    <row r="10" spans="1:49">
      <c r="A10" s="265"/>
      <c r="B10" s="416">
        <v>1965</v>
      </c>
      <c r="C10" s="299">
        <v>50416.341077094468</v>
      </c>
      <c r="D10" s="299">
        <v>142.5</v>
      </c>
      <c r="E10" s="299">
        <v>1.5680000000000001</v>
      </c>
      <c r="F10" s="318">
        <f t="shared" si="0"/>
        <v>223.44</v>
      </c>
      <c r="G10" s="299">
        <v>-18.399999999999636</v>
      </c>
      <c r="H10" s="314">
        <f t="shared" si="1"/>
        <v>-205.04000000000036</v>
      </c>
      <c r="I10" s="299">
        <v>23</v>
      </c>
      <c r="J10" s="299">
        <v>-30.399999999999636</v>
      </c>
      <c r="K10" s="299">
        <f t="shared" si="2"/>
        <v>-11</v>
      </c>
      <c r="L10" s="313">
        <f t="shared" si="3"/>
        <v>3.6496103459517538E-4</v>
      </c>
      <c r="M10" s="313">
        <f t="shared" si="4"/>
        <v>-4.0669353550758895E-3</v>
      </c>
      <c r="N10" s="413"/>
      <c r="O10" s="355">
        <f t="shared" si="5"/>
        <v>3.6496103459517538E-4</v>
      </c>
      <c r="P10" s="355">
        <f t="shared" si="6"/>
        <v>-4.0669353550758895E-3</v>
      </c>
      <c r="Q10" s="313">
        <f t="shared" si="7"/>
        <v>-4.5620129324397825E-4</v>
      </c>
      <c r="R10" s="313">
        <f t="shared" si="8"/>
        <v>-4.5620129324397825E-4</v>
      </c>
      <c r="S10" s="313">
        <f t="shared" si="9"/>
        <v>2.1818322720364177E-4</v>
      </c>
      <c r="T10" s="352"/>
      <c r="AM10" s="265"/>
      <c r="AN10" s="265"/>
      <c r="AO10" s="265"/>
      <c r="AP10" s="353"/>
      <c r="AQ10" s="353"/>
      <c r="AR10" s="353"/>
      <c r="AS10" s="353"/>
      <c r="AT10" s="353"/>
      <c r="AU10" s="265"/>
      <c r="AV10" s="265"/>
      <c r="AW10" s="265"/>
    </row>
    <row r="11" spans="1:49">
      <c r="A11" s="265"/>
      <c r="B11" s="416">
        <v>1966</v>
      </c>
      <c r="C11" s="299">
        <v>53134.255667617959</v>
      </c>
      <c r="D11" s="299">
        <v>132</v>
      </c>
      <c r="E11" s="299">
        <v>1.5209999999999999</v>
      </c>
      <c r="F11" s="318">
        <f t="shared" si="0"/>
        <v>200.77199999999999</v>
      </c>
      <c r="G11" s="299">
        <v>-849.39999999999964</v>
      </c>
      <c r="H11" s="314">
        <f t="shared" si="1"/>
        <v>648.6279999999997</v>
      </c>
      <c r="I11" s="299">
        <v>-1007</v>
      </c>
      <c r="J11" s="299">
        <v>46.600000000000364</v>
      </c>
      <c r="K11" s="299">
        <f t="shared" si="2"/>
        <v>111</v>
      </c>
      <c r="L11" s="313">
        <f t="shared" si="3"/>
        <v>1.598592074599544E-2</v>
      </c>
      <c r="M11" s="313">
        <f t="shared" si="4"/>
        <v>1.2207341419394313E-2</v>
      </c>
      <c r="N11" s="413"/>
      <c r="O11" s="355">
        <f t="shared" si="5"/>
        <v>1.598592074599544E-2</v>
      </c>
      <c r="P11" s="355">
        <f t="shared" si="6"/>
        <v>1.2207341419394313E-2</v>
      </c>
      <c r="Q11" s="313">
        <f t="shared" si="7"/>
        <v>1.8951992219469523E-2</v>
      </c>
      <c r="R11" s="313">
        <f t="shared" si="8"/>
        <v>1.8951992219469523E-2</v>
      </c>
      <c r="S11" s="313">
        <f t="shared" si="9"/>
        <v>-2.0890478017488749E-3</v>
      </c>
      <c r="T11" s="352"/>
      <c r="AM11" s="265"/>
      <c r="AN11" s="265"/>
      <c r="AO11" s="265"/>
      <c r="AP11" s="306"/>
      <c r="AQ11" s="353"/>
      <c r="AR11" s="353"/>
      <c r="AS11" s="353"/>
      <c r="AT11" s="353"/>
      <c r="AU11" s="265"/>
      <c r="AV11" s="265"/>
      <c r="AW11" s="265"/>
    </row>
    <row r="12" spans="1:49">
      <c r="A12" s="265"/>
      <c r="B12" s="416">
        <v>1967</v>
      </c>
      <c r="C12" s="299">
        <v>56892.039691923026</v>
      </c>
      <c r="D12" s="299">
        <v>136.5</v>
      </c>
      <c r="E12" s="299">
        <v>2.3660000000000001</v>
      </c>
      <c r="F12" s="318">
        <f t="shared" si="0"/>
        <v>322.959</v>
      </c>
      <c r="G12" s="299">
        <v>-2643.3999999999996</v>
      </c>
      <c r="H12" s="314">
        <f t="shared" si="1"/>
        <v>2320.4409999999998</v>
      </c>
      <c r="I12" s="299">
        <v>-2181</v>
      </c>
      <c r="J12" s="299">
        <v>-506.39999999999964</v>
      </c>
      <c r="K12" s="299">
        <f t="shared" si="2"/>
        <v>44</v>
      </c>
      <c r="L12" s="313">
        <f t="shared" si="3"/>
        <v>4.6463442237513655E-2</v>
      </c>
      <c r="M12" s="313">
        <f t="shared" si="4"/>
        <v>4.0786742970817289E-2</v>
      </c>
      <c r="N12" s="413"/>
      <c r="O12" s="355">
        <f t="shared" si="5"/>
        <v>4.6463442237513655E-2</v>
      </c>
      <c r="P12" s="355">
        <f t="shared" si="6"/>
        <v>4.0786742970817289E-2</v>
      </c>
      <c r="Q12" s="313">
        <f t="shared" si="7"/>
        <v>3.8335767390488495E-2</v>
      </c>
      <c r="R12" s="313">
        <f t="shared" si="8"/>
        <v>3.8335767390488495E-2</v>
      </c>
      <c r="S12" s="313">
        <f t="shared" si="9"/>
        <v>-7.7339466537436677E-4</v>
      </c>
      <c r="T12" s="352"/>
      <c r="AM12" s="265"/>
      <c r="AN12" s="265"/>
      <c r="AO12" s="265"/>
      <c r="AP12" s="353"/>
      <c r="AQ12" s="353"/>
      <c r="AR12" s="353"/>
      <c r="AS12" s="353"/>
      <c r="AT12" s="353"/>
      <c r="AU12" s="265"/>
      <c r="AV12" s="265"/>
      <c r="AW12" s="265"/>
    </row>
    <row r="13" spans="1:49">
      <c r="A13" s="265"/>
      <c r="B13" s="416">
        <v>1968</v>
      </c>
      <c r="C13" s="299">
        <v>60103.576598544991</v>
      </c>
      <c r="D13" s="299">
        <v>131.4</v>
      </c>
      <c r="E13" s="299">
        <v>2.6040000000000001</v>
      </c>
      <c r="F13" s="318">
        <f t="shared" si="0"/>
        <v>342.16560000000004</v>
      </c>
      <c r="G13" s="299">
        <v>-2072.6000000000004</v>
      </c>
      <c r="H13" s="314">
        <f t="shared" si="1"/>
        <v>1730.4344000000003</v>
      </c>
      <c r="I13" s="299">
        <v>-1425</v>
      </c>
      <c r="J13" s="299">
        <v>-441.60000000000036</v>
      </c>
      <c r="K13" s="299">
        <f t="shared" si="2"/>
        <v>-206</v>
      </c>
      <c r="L13" s="313">
        <f t="shared" si="3"/>
        <v>3.4483804746657534E-2</v>
      </c>
      <c r="M13" s="313">
        <f t="shared" si="4"/>
        <v>2.8790872322927472E-2</v>
      </c>
      <c r="N13" s="413"/>
      <c r="O13" s="355">
        <f t="shared" si="5"/>
        <v>3.4483804746657534E-2</v>
      </c>
      <c r="P13" s="355">
        <f t="shared" si="6"/>
        <v>2.8790872322927472E-2</v>
      </c>
      <c r="Q13" s="313">
        <f t="shared" si="7"/>
        <v>2.3709071583512001E-2</v>
      </c>
      <c r="R13" s="313">
        <f t="shared" si="8"/>
        <v>2.3709071583512001E-2</v>
      </c>
      <c r="S13" s="313">
        <f t="shared" si="9"/>
        <v>3.4274166640024368E-3</v>
      </c>
      <c r="T13" s="352"/>
      <c r="AM13" s="265"/>
      <c r="AN13" s="265"/>
      <c r="AO13" s="265"/>
      <c r="AP13" s="353"/>
      <c r="AQ13" s="353"/>
      <c r="AR13" s="353"/>
      <c r="AS13" s="353"/>
      <c r="AT13" s="353"/>
      <c r="AU13" s="265"/>
      <c r="AV13" s="265"/>
      <c r="AW13" s="265"/>
    </row>
    <row r="14" spans="1:49">
      <c r="A14" s="265"/>
      <c r="B14" s="416">
        <v>1969</v>
      </c>
      <c r="C14" s="299">
        <v>64603.847218767427</v>
      </c>
      <c r="D14" s="299">
        <v>130.9</v>
      </c>
      <c r="E14" s="299">
        <v>3.59</v>
      </c>
      <c r="F14" s="318">
        <f t="shared" si="0"/>
        <v>469.93099999999998</v>
      </c>
      <c r="G14" s="299">
        <v>-961.60000000000105</v>
      </c>
      <c r="H14" s="314">
        <f t="shared" si="1"/>
        <v>491.66900000000106</v>
      </c>
      <c r="I14" s="299">
        <v>-636.9</v>
      </c>
      <c r="J14" s="299">
        <v>-148.80000000000109</v>
      </c>
      <c r="K14" s="299">
        <f t="shared" si="2"/>
        <v>-175.89999999999998</v>
      </c>
      <c r="L14" s="313">
        <f t="shared" si="3"/>
        <v>1.4884562474178104E-2</v>
      </c>
      <c r="M14" s="313">
        <f t="shared" si="4"/>
        <v>7.6105219915938872E-3</v>
      </c>
      <c r="N14" s="413"/>
      <c r="O14" s="355">
        <f t="shared" si="5"/>
        <v>1.4884562474178104E-2</v>
      </c>
      <c r="P14" s="355">
        <f t="shared" si="6"/>
        <v>7.6105219915938872E-3</v>
      </c>
      <c r="Q14" s="313">
        <f t="shared" si="7"/>
        <v>9.8585460064517707E-3</v>
      </c>
      <c r="R14" s="313">
        <f t="shared" si="8"/>
        <v>9.8585460064517707E-3</v>
      </c>
      <c r="S14" s="313">
        <f t="shared" si="9"/>
        <v>2.7227480649000884E-3</v>
      </c>
      <c r="T14" s="352"/>
      <c r="AM14" s="265"/>
      <c r="AN14" s="265"/>
      <c r="AO14" s="265"/>
      <c r="AP14" s="353"/>
      <c r="AQ14" s="353"/>
      <c r="AR14" s="353"/>
      <c r="AS14" s="353"/>
      <c r="AT14" s="353"/>
      <c r="AU14" s="265"/>
      <c r="AV14" s="265"/>
      <c r="AW14" s="265"/>
    </row>
    <row r="15" spans="1:49">
      <c r="A15" s="265"/>
      <c r="B15" s="416">
        <v>1970</v>
      </c>
      <c r="C15" s="299">
        <v>69143.520389176221</v>
      </c>
      <c r="D15" s="299">
        <v>135</v>
      </c>
      <c r="E15" s="299">
        <v>4.306</v>
      </c>
      <c r="F15" s="318">
        <f t="shared" si="0"/>
        <v>581.31000000000006</v>
      </c>
      <c r="G15" s="299">
        <v>-639.5</v>
      </c>
      <c r="H15" s="314">
        <f t="shared" si="1"/>
        <v>58.189999999999941</v>
      </c>
      <c r="I15" s="299">
        <v>-136</v>
      </c>
      <c r="J15" s="299">
        <v>-267.5</v>
      </c>
      <c r="K15" s="299">
        <f t="shared" si="2"/>
        <v>-236</v>
      </c>
      <c r="L15" s="313">
        <f t="shared" si="3"/>
        <v>9.2488782231589673E-3</v>
      </c>
      <c r="M15" s="313">
        <f t="shared" si="4"/>
        <v>8.4158283628713016E-4</v>
      </c>
      <c r="N15" s="413"/>
      <c r="O15" s="355">
        <f t="shared" si="5"/>
        <v>9.2488782231589673E-3</v>
      </c>
      <c r="P15" s="355">
        <f t="shared" si="6"/>
        <v>8.4158283628713016E-4</v>
      </c>
      <c r="Q15" s="313">
        <f t="shared" si="7"/>
        <v>1.9669232812347453E-3</v>
      </c>
      <c r="R15" s="313">
        <f t="shared" si="8"/>
        <v>1.9669232812347453E-3</v>
      </c>
      <c r="S15" s="313">
        <f t="shared" si="9"/>
        <v>3.4131903997897048E-3</v>
      </c>
      <c r="T15" s="352"/>
      <c r="AM15" s="265"/>
      <c r="AN15" s="265"/>
      <c r="AO15" s="265"/>
      <c r="AP15" s="265"/>
      <c r="AQ15" s="265"/>
      <c r="AR15" s="265"/>
      <c r="AS15" s="265"/>
      <c r="AT15" s="265"/>
      <c r="AU15" s="265"/>
      <c r="AV15" s="265"/>
      <c r="AW15" s="265"/>
    </row>
    <row r="16" spans="1:49">
      <c r="A16" s="265"/>
      <c r="B16" s="416">
        <v>1971</v>
      </c>
      <c r="C16" s="299">
        <v>76739.957949324438</v>
      </c>
      <c r="D16" s="299">
        <v>135.19583333333333</v>
      </c>
      <c r="E16" s="299">
        <v>5.6429999999999998</v>
      </c>
      <c r="F16" s="318">
        <f t="shared" si="0"/>
        <v>762.91008749999992</v>
      </c>
      <c r="G16" s="299">
        <v>-1592.6000000000004</v>
      </c>
      <c r="H16" s="314">
        <f t="shared" si="1"/>
        <v>829.68991250000045</v>
      </c>
      <c r="I16" s="299">
        <v>-815</v>
      </c>
      <c r="J16" s="299">
        <v>-731.60000000000036</v>
      </c>
      <c r="K16" s="299">
        <f t="shared" si="2"/>
        <v>-46</v>
      </c>
      <c r="L16" s="313">
        <f t="shared" si="3"/>
        <v>2.0753203970370698E-2</v>
      </c>
      <c r="M16" s="313">
        <f t="shared" si="4"/>
        <v>1.0811706634604748E-2</v>
      </c>
      <c r="N16" s="413"/>
      <c r="O16" s="355">
        <f t="shared" si="5"/>
        <v>2.0753203970370698E-2</v>
      </c>
      <c r="P16" s="355">
        <f t="shared" si="6"/>
        <v>1.0811706634604748E-2</v>
      </c>
      <c r="Q16" s="313">
        <f t="shared" si="7"/>
        <v>1.062028207701376E-2</v>
      </c>
      <c r="R16" s="313">
        <f t="shared" si="8"/>
        <v>1.062028207701376E-2</v>
      </c>
      <c r="S16" s="313">
        <f t="shared" si="9"/>
        <v>5.9942696385599135E-4</v>
      </c>
      <c r="T16" s="352"/>
      <c r="AM16" s="265"/>
      <c r="AN16" s="265"/>
      <c r="AO16" s="265"/>
      <c r="AP16" s="265"/>
      <c r="AQ16" s="265"/>
      <c r="AR16" s="265"/>
      <c r="AS16" s="265"/>
      <c r="AT16" s="265"/>
      <c r="AU16" s="265"/>
      <c r="AV16" s="265"/>
      <c r="AW16" s="265"/>
    </row>
    <row r="17" spans="1:49">
      <c r="A17" s="265"/>
      <c r="B17" s="416">
        <v>1972</v>
      </c>
      <c r="C17" s="299">
        <v>87858.757669864892</v>
      </c>
      <c r="D17" s="299">
        <v>134.33333333333334</v>
      </c>
      <c r="E17" s="299">
        <v>7.0179999999999998</v>
      </c>
      <c r="F17" s="318">
        <f t="shared" si="0"/>
        <v>942.75133333333338</v>
      </c>
      <c r="G17" s="299">
        <v>-2878</v>
      </c>
      <c r="H17" s="314">
        <f t="shared" si="1"/>
        <v>1935.2486666666666</v>
      </c>
      <c r="I17" s="299">
        <v>-1410</v>
      </c>
      <c r="J17" s="299">
        <v>-1495</v>
      </c>
      <c r="K17" s="299">
        <f t="shared" si="2"/>
        <v>27</v>
      </c>
      <c r="L17" s="313">
        <f t="shared" si="3"/>
        <v>3.2757121501925578E-2</v>
      </c>
      <c r="M17" s="313">
        <f t="shared" si="4"/>
        <v>2.2026815743724625E-2</v>
      </c>
      <c r="N17" s="413"/>
      <c r="O17" s="355">
        <f t="shared" si="5"/>
        <v>3.2757121501925578E-2</v>
      </c>
      <c r="P17" s="355">
        <f t="shared" si="6"/>
        <v>2.2026815743724625E-2</v>
      </c>
      <c r="Q17" s="313">
        <f t="shared" si="7"/>
        <v>1.6048485516926708E-2</v>
      </c>
      <c r="R17" s="313">
        <f t="shared" si="8"/>
        <v>1.6048485516926708E-2</v>
      </c>
      <c r="S17" s="313">
        <f t="shared" si="9"/>
        <v>-3.0731142479221356E-4</v>
      </c>
      <c r="T17" s="352"/>
      <c r="AM17" s="265"/>
      <c r="AN17" s="265"/>
      <c r="AO17" s="265"/>
      <c r="AP17" s="265"/>
      <c r="AQ17" s="265"/>
      <c r="AR17" s="265"/>
      <c r="AS17" s="265"/>
      <c r="AT17" s="265"/>
      <c r="AU17" s="265"/>
      <c r="AV17" s="265"/>
      <c r="AW17" s="265"/>
    </row>
    <row r="18" spans="1:49">
      <c r="A18" s="265"/>
      <c r="B18" s="416">
        <v>1973</v>
      </c>
      <c r="C18" s="299">
        <v>112058.98952764735</v>
      </c>
      <c r="D18" s="299">
        <v>135.41666666666666</v>
      </c>
      <c r="E18" s="299">
        <v>6.8959999999999999</v>
      </c>
      <c r="F18" s="318">
        <f t="shared" si="0"/>
        <v>933.83333333333326</v>
      </c>
      <c r="G18" s="299">
        <v>-1609.2999999999993</v>
      </c>
      <c r="H18" s="314">
        <f t="shared" si="1"/>
        <v>675.46666666666601</v>
      </c>
      <c r="I18" s="299">
        <v>-1611</v>
      </c>
      <c r="J18" s="299">
        <v>-344.29999999999927</v>
      </c>
      <c r="K18" s="299">
        <f t="shared" si="2"/>
        <v>346</v>
      </c>
      <c r="L18" s="313">
        <f t="shared" si="3"/>
        <v>1.436118607515152E-2</v>
      </c>
      <c r="M18" s="313">
        <f t="shared" si="4"/>
        <v>6.0277775974413358E-3</v>
      </c>
      <c r="N18" s="413"/>
      <c r="O18" s="355">
        <f t="shared" si="5"/>
        <v>1.436118607515152E-2</v>
      </c>
      <c r="P18" s="355">
        <f t="shared" si="6"/>
        <v>6.0277775974413358E-3</v>
      </c>
      <c r="Q18" s="313">
        <f t="shared" si="7"/>
        <v>1.4376356656353142E-2</v>
      </c>
      <c r="R18" s="313">
        <f t="shared" si="8"/>
        <v>1.4376356656353142E-2</v>
      </c>
      <c r="S18" s="313">
        <f t="shared" si="9"/>
        <v>-3.087659468093226E-3</v>
      </c>
      <c r="T18" s="352"/>
    </row>
    <row r="19" spans="1:49">
      <c r="A19" s="265"/>
      <c r="B19" s="416">
        <v>1974</v>
      </c>
      <c r="C19" s="299">
        <v>151151.99149675915</v>
      </c>
      <c r="D19" s="299">
        <v>136.54166666666666</v>
      </c>
      <c r="E19" s="299">
        <v>8.0449999999999999</v>
      </c>
      <c r="F19" s="318">
        <f t="shared" si="0"/>
        <v>1098.4777083333333</v>
      </c>
      <c r="G19" s="299">
        <v>-475.89999999999964</v>
      </c>
      <c r="H19" s="314">
        <f t="shared" si="1"/>
        <v>-622.5777083333337</v>
      </c>
      <c r="I19" s="299">
        <v>-1967</v>
      </c>
      <c r="J19" s="299">
        <v>1723.1000000000004</v>
      </c>
      <c r="K19" s="299">
        <f t="shared" si="2"/>
        <v>-232</v>
      </c>
      <c r="L19" s="313">
        <f t="shared" si="3"/>
        <v>3.1484864690664921E-3</v>
      </c>
      <c r="M19" s="313">
        <f t="shared" si="4"/>
        <v>-4.1188852503255468E-3</v>
      </c>
      <c r="N19" s="413"/>
      <c r="O19" s="355">
        <f t="shared" si="5"/>
        <v>3.1484864690664921E-3</v>
      </c>
      <c r="P19" s="355">
        <f t="shared" si="6"/>
        <v>-4.1188852503255468E-3</v>
      </c>
      <c r="Q19" s="313">
        <f t="shared" si="7"/>
        <v>1.3013391226421086E-2</v>
      </c>
      <c r="R19" s="313">
        <f t="shared" si="8"/>
        <v>1.3013391226421086E-2</v>
      </c>
      <c r="S19" s="313">
        <f t="shared" si="9"/>
        <v>1.5348788838483436E-3</v>
      </c>
      <c r="T19" s="352"/>
    </row>
    <row r="20" spans="1:49">
      <c r="A20" s="265"/>
      <c r="B20" s="416">
        <v>1975</v>
      </c>
      <c r="C20" s="299">
        <v>170338.06477592592</v>
      </c>
      <c r="D20" s="299">
        <v>139.5</v>
      </c>
      <c r="E20" s="299">
        <v>9.827</v>
      </c>
      <c r="F20" s="318">
        <f t="shared" si="0"/>
        <v>1370.8665000000001</v>
      </c>
      <c r="G20" s="299">
        <v>-7710.5</v>
      </c>
      <c r="H20" s="314">
        <f t="shared" si="1"/>
        <v>6339.6334999999999</v>
      </c>
      <c r="I20" s="299">
        <v>-8205.7000000000007</v>
      </c>
      <c r="J20" s="299">
        <v>340</v>
      </c>
      <c r="K20" s="299">
        <f t="shared" si="2"/>
        <v>155.20000000000073</v>
      </c>
      <c r="L20" s="313">
        <f t="shared" si="3"/>
        <v>4.5265865912841666E-2</v>
      </c>
      <c r="M20" s="313">
        <f t="shared" si="4"/>
        <v>3.7217949542514631E-2</v>
      </c>
      <c r="N20" s="413"/>
      <c r="O20" s="355">
        <f t="shared" si="5"/>
        <v>4.5265865912841666E-2</v>
      </c>
      <c r="P20" s="355">
        <f t="shared" si="6"/>
        <v>3.7217949542514631E-2</v>
      </c>
      <c r="Q20" s="313">
        <f t="shared" si="7"/>
        <v>4.8173025863563305E-2</v>
      </c>
      <c r="R20" s="313">
        <f t="shared" si="8"/>
        <v>4.8173025863563305E-2</v>
      </c>
      <c r="S20" s="313">
        <f t="shared" si="9"/>
        <v>-9.1112928988691514E-4</v>
      </c>
      <c r="T20" s="352"/>
    </row>
    <row r="21" spans="1:49">
      <c r="A21" s="265"/>
      <c r="B21" s="416">
        <v>1976</v>
      </c>
      <c r="C21" s="299">
        <v>194143.3509485957</v>
      </c>
      <c r="D21" s="299">
        <v>138.4</v>
      </c>
      <c r="E21" s="299">
        <v>10.244999999999999</v>
      </c>
      <c r="F21" s="318">
        <f t="shared" si="0"/>
        <v>1417.9079999999999</v>
      </c>
      <c r="G21" s="299">
        <v>-660.79999999999836</v>
      </c>
      <c r="H21" s="314">
        <f t="shared" si="1"/>
        <v>-757.10800000000154</v>
      </c>
      <c r="I21" s="299">
        <v>-1473.5</v>
      </c>
      <c r="J21" s="299">
        <v>311.40000000000146</v>
      </c>
      <c r="K21" s="299">
        <f t="shared" si="2"/>
        <v>501.30000000000018</v>
      </c>
      <c r="L21" s="313">
        <f t="shared" si="3"/>
        <v>3.4036705185693517E-3</v>
      </c>
      <c r="M21" s="313">
        <f t="shared" si="4"/>
        <v>-3.8997369536516589E-3</v>
      </c>
      <c r="N21" s="413"/>
      <c r="O21" s="355">
        <f t="shared" si="5"/>
        <v>3.4036705185693517E-3</v>
      </c>
      <c r="P21" s="355">
        <f t="shared" si="6"/>
        <v>-3.8997369536516589E-3</v>
      </c>
      <c r="Q21" s="313">
        <f t="shared" si="7"/>
        <v>7.5897525864284986E-3</v>
      </c>
      <c r="R21" s="313">
        <f t="shared" si="8"/>
        <v>7.5897525864284986E-3</v>
      </c>
      <c r="S21" s="313">
        <f t="shared" si="9"/>
        <v>-2.5821126376495474E-3</v>
      </c>
      <c r="T21" s="352"/>
    </row>
    <row r="22" spans="1:49">
      <c r="A22" s="265"/>
      <c r="B22" s="416">
        <v>1977</v>
      </c>
      <c r="C22" s="299">
        <v>240956.52083487576</v>
      </c>
      <c r="D22" s="299">
        <v>133.07500000000002</v>
      </c>
      <c r="E22" s="299">
        <v>14.129</v>
      </c>
      <c r="F22" s="318">
        <f t="shared" si="0"/>
        <v>1880.2166750000001</v>
      </c>
      <c r="G22" s="299">
        <v>-654</v>
      </c>
      <c r="H22" s="314">
        <f t="shared" si="1"/>
        <v>-1226.2166750000001</v>
      </c>
      <c r="I22" s="299">
        <v>-4187.1000000000004</v>
      </c>
      <c r="J22" s="299">
        <v>2255</v>
      </c>
      <c r="K22" s="299">
        <f t="shared" si="2"/>
        <v>1278.1000000000004</v>
      </c>
      <c r="L22" s="313">
        <f t="shared" si="3"/>
        <v>2.7141826157432666E-3</v>
      </c>
      <c r="M22" s="313">
        <f t="shared" si="4"/>
        <v>-5.088954101558886E-3</v>
      </c>
      <c r="N22" s="413"/>
      <c r="O22" s="355">
        <f t="shared" si="5"/>
        <v>2.7141826157432666E-3</v>
      </c>
      <c r="P22" s="355">
        <f t="shared" si="6"/>
        <v>-5.088954101558886E-3</v>
      </c>
      <c r="Q22" s="313">
        <f t="shared" si="7"/>
        <v>1.7376993930242557E-2</v>
      </c>
      <c r="R22" s="313">
        <f t="shared" si="8"/>
        <v>1.7376993930242557E-2</v>
      </c>
      <c r="S22" s="313">
        <f t="shared" si="9"/>
        <v>-5.3042764544059175E-3</v>
      </c>
      <c r="T22" s="352"/>
    </row>
    <row r="23" spans="1:49">
      <c r="A23" s="265"/>
      <c r="B23" s="416">
        <v>1978</v>
      </c>
      <c r="C23" s="299">
        <v>296141.47375463031</v>
      </c>
      <c r="D23" s="299">
        <v>139.29166666666666</v>
      </c>
      <c r="E23" s="299">
        <v>18.48</v>
      </c>
      <c r="F23" s="318">
        <f t="shared" si="0"/>
        <v>2574.1099999999997</v>
      </c>
      <c r="G23" s="299">
        <v>933.5</v>
      </c>
      <c r="H23" s="314">
        <f t="shared" si="1"/>
        <v>-3507.6099999999997</v>
      </c>
      <c r="I23" s="299">
        <v>-6438.3</v>
      </c>
      <c r="J23" s="299">
        <v>5496</v>
      </c>
      <c r="K23" s="299">
        <f t="shared" si="2"/>
        <v>1875.8000000000002</v>
      </c>
      <c r="L23" s="313">
        <f t="shared" si="3"/>
        <v>-3.1522096117258358E-3</v>
      </c>
      <c r="M23" s="313">
        <f t="shared" si="4"/>
        <v>-1.1844372743637555E-2</v>
      </c>
      <c r="N23" s="413"/>
      <c r="O23" s="355">
        <f t="shared" si="5"/>
        <v>-3.1522096117258358E-3</v>
      </c>
      <c r="P23" s="355">
        <f t="shared" si="6"/>
        <v>-1.1844372743637555E-2</v>
      </c>
      <c r="Q23" s="313">
        <f t="shared" si="7"/>
        <v>2.174062254223294E-2</v>
      </c>
      <c r="R23" s="313">
        <f t="shared" si="8"/>
        <v>2.174062254223294E-2</v>
      </c>
      <c r="S23" s="313">
        <f t="shared" si="9"/>
        <v>-6.3341347505895271E-3</v>
      </c>
      <c r="T23" s="352"/>
    </row>
    <row r="24" spans="1:49">
      <c r="A24" s="265"/>
      <c r="B24" s="416">
        <v>1979</v>
      </c>
      <c r="C24" s="299">
        <v>395025.60881821497</v>
      </c>
      <c r="D24" s="299">
        <v>139</v>
      </c>
      <c r="E24" s="299">
        <v>25.64</v>
      </c>
      <c r="F24" s="318">
        <f t="shared" si="0"/>
        <v>3563.96</v>
      </c>
      <c r="G24" s="299">
        <v>6395</v>
      </c>
      <c r="H24" s="314">
        <f t="shared" si="1"/>
        <v>-9958.9599999999991</v>
      </c>
      <c r="I24" s="299" t="s">
        <v>110</v>
      </c>
      <c r="J24" s="299">
        <v>4800</v>
      </c>
      <c r="K24" s="299"/>
      <c r="L24" s="313">
        <f t="shared" si="3"/>
        <v>-1.6188823856589221E-2</v>
      </c>
      <c r="M24" s="313">
        <f t="shared" si="4"/>
        <v>-2.5210922476124751E-2</v>
      </c>
      <c r="N24" s="413"/>
      <c r="O24" s="355">
        <f t="shared" si="5"/>
        <v>-1.6188823856589221E-2</v>
      </c>
      <c r="P24" s="355">
        <f t="shared" si="6"/>
        <v>-2.5210922476124751E-2</v>
      </c>
      <c r="Q24" s="313"/>
      <c r="R24" s="313"/>
      <c r="S24" s="313"/>
      <c r="T24" s="352"/>
    </row>
    <row r="25" spans="1:49">
      <c r="A25" s="265"/>
      <c r="B25" s="410">
        <v>1980</v>
      </c>
      <c r="C25" s="299">
        <v>515946.12150783779</v>
      </c>
      <c r="D25" s="299">
        <v>135.70833333333334</v>
      </c>
      <c r="E25" s="299">
        <v>32.905000000000001</v>
      </c>
      <c r="F25" s="318">
        <f t="shared" si="0"/>
        <v>4465.4827083333339</v>
      </c>
      <c r="G25" s="299">
        <v>2017.6523999999956</v>
      </c>
      <c r="H25" s="314">
        <f t="shared" si="1"/>
        <v>-6483.1351083333293</v>
      </c>
      <c r="I25" s="299">
        <v>-582</v>
      </c>
      <c r="J25" s="299">
        <v>-1524.0330000000031</v>
      </c>
      <c r="K25" s="299">
        <f t="shared" ref="K25:K59" si="10">+G25-I25-J25</f>
        <v>4123.6853999999985</v>
      </c>
      <c r="L25" s="313">
        <f t="shared" si="3"/>
        <v>-3.9105873964193471E-3</v>
      </c>
      <c r="M25" s="313">
        <f t="shared" si="4"/>
        <v>-1.2565527364342913E-2</v>
      </c>
      <c r="N25" s="413"/>
      <c r="O25" s="355">
        <f t="shared" si="5"/>
        <v>-3.9105873964193471E-3</v>
      </c>
      <c r="P25" s="355">
        <f t="shared" si="6"/>
        <v>-1.2565527364342913E-2</v>
      </c>
      <c r="Q25" s="313">
        <f>+J25/C25*-1</f>
        <v>2.9538607549680967E-3</v>
      </c>
      <c r="R25" s="313">
        <f t="shared" ref="R25:R60" si="11">+I25/C25*-1</f>
        <v>1.1280247602193842E-3</v>
      </c>
      <c r="S25" s="313">
        <f t="shared" ref="S25:S59" si="12">+K25/C25*-1</f>
        <v>-7.9924729116068287E-3</v>
      </c>
      <c r="T25" s="352"/>
    </row>
    <row r="26" spans="1:49">
      <c r="A26" s="265"/>
      <c r="B26" s="416">
        <v>1981</v>
      </c>
      <c r="C26" s="299">
        <v>657659.11807549722</v>
      </c>
      <c r="D26" s="299">
        <v>149.70833333333334</v>
      </c>
      <c r="E26" s="299">
        <v>34.137</v>
      </c>
      <c r="F26" s="318">
        <f t="shared" si="0"/>
        <v>5110.5933750000004</v>
      </c>
      <c r="G26" s="299">
        <v>-19063.734100000009</v>
      </c>
      <c r="H26" s="314">
        <f t="shared" si="1"/>
        <v>13953.140725000008</v>
      </c>
      <c r="I26" s="299">
        <v>-1968</v>
      </c>
      <c r="J26" s="299">
        <v>-17371.2</v>
      </c>
      <c r="K26" s="299">
        <f t="shared" si="10"/>
        <v>275.46589999999196</v>
      </c>
      <c r="L26" s="313">
        <f t="shared" si="3"/>
        <v>2.8987257343570428E-2</v>
      </c>
      <c r="M26" s="313">
        <f t="shared" si="4"/>
        <v>2.1216372344735335E-2</v>
      </c>
      <c r="N26" s="414">
        <v>1E-3</v>
      </c>
      <c r="O26" s="355">
        <f t="shared" si="5"/>
        <v>2.9987257343570429E-2</v>
      </c>
      <c r="P26" s="355">
        <f t="shared" si="6"/>
        <v>2.2216372344735336E-2</v>
      </c>
      <c r="Q26" s="313">
        <f t="shared" ref="Q26:Q60" si="13">+J26/C26*-1</f>
        <v>2.6413683810593561E-2</v>
      </c>
      <c r="R26" s="313">
        <f t="shared" si="11"/>
        <v>2.9924317110647581E-3</v>
      </c>
      <c r="S26" s="313">
        <f t="shared" si="12"/>
        <v>-4.1885817808789104E-4</v>
      </c>
      <c r="T26" s="352"/>
    </row>
    <row r="27" spans="1:49">
      <c r="A27" s="265"/>
      <c r="B27" s="416">
        <v>1982</v>
      </c>
      <c r="C27" s="299">
        <v>689173.20032844727</v>
      </c>
      <c r="D27" s="299">
        <v>205.66666666666666</v>
      </c>
      <c r="E27" s="299">
        <v>41.546999999999997</v>
      </c>
      <c r="F27" s="318">
        <f t="shared" si="0"/>
        <v>8544.8329999999987</v>
      </c>
      <c r="G27" s="299">
        <v>-7001.880000000001</v>
      </c>
      <c r="H27" s="314">
        <f t="shared" si="1"/>
        <v>-1542.9529999999977</v>
      </c>
      <c r="I27" s="299">
        <v>-5542</v>
      </c>
      <c r="J27" s="299">
        <v>-6046.0999999999913</v>
      </c>
      <c r="K27" s="299">
        <f t="shared" si="10"/>
        <v>4586.2199999999903</v>
      </c>
      <c r="L27" s="313">
        <f t="shared" si="3"/>
        <v>1.0159826291363382E-2</v>
      </c>
      <c r="M27" s="313">
        <f t="shared" si="4"/>
        <v>-2.2388464891911855E-3</v>
      </c>
      <c r="N27" s="414">
        <v>1E-3</v>
      </c>
      <c r="O27" s="355">
        <f t="shared" si="5"/>
        <v>1.1159826291363382E-2</v>
      </c>
      <c r="P27" s="355">
        <f t="shared" si="6"/>
        <v>-1.2388464891911854E-3</v>
      </c>
      <c r="Q27" s="313">
        <f t="shared" si="13"/>
        <v>8.7729760778836596E-3</v>
      </c>
      <c r="R27" s="313">
        <f t="shared" si="11"/>
        <v>8.0415198927624946E-3</v>
      </c>
      <c r="S27" s="313">
        <f t="shared" si="12"/>
        <v>-6.6546696792827726E-3</v>
      </c>
      <c r="T27" s="352"/>
    </row>
    <row r="28" spans="1:49">
      <c r="A28" s="265"/>
      <c r="B28" s="416">
        <v>1983</v>
      </c>
      <c r="C28" s="299">
        <v>764665.15118325572</v>
      </c>
      <c r="D28" s="299">
        <v>320.75</v>
      </c>
      <c r="E28" s="299">
        <v>47.619</v>
      </c>
      <c r="F28" s="318">
        <f t="shared" si="0"/>
        <v>15273.794250000001</v>
      </c>
      <c r="G28" s="299">
        <v>-37960.489600000023</v>
      </c>
      <c r="H28" s="314">
        <f t="shared" si="1"/>
        <v>22686.695350000024</v>
      </c>
      <c r="I28" s="299">
        <v>-19901</v>
      </c>
      <c r="J28" s="299">
        <v>-30492.1</v>
      </c>
      <c r="K28" s="299">
        <f t="shared" si="10"/>
        <v>12432.610399999976</v>
      </c>
      <c r="L28" s="313">
        <f t="shared" si="3"/>
        <v>4.9643284437978275E-2</v>
      </c>
      <c r="M28" s="313">
        <f t="shared" si="4"/>
        <v>2.9668797270143998E-2</v>
      </c>
      <c r="N28" s="414">
        <v>3.0000000000000001E-3</v>
      </c>
      <c r="O28" s="355">
        <f t="shared" si="5"/>
        <v>5.2643284437978277E-2</v>
      </c>
      <c r="P28" s="355">
        <f t="shared" si="6"/>
        <v>3.2668797270143997E-2</v>
      </c>
      <c r="Q28" s="313">
        <f t="shared" si="13"/>
        <v>3.9876408585922882E-2</v>
      </c>
      <c r="R28" s="313">
        <f t="shared" si="11"/>
        <v>2.6025770847808164E-2</v>
      </c>
      <c r="S28" s="313">
        <f t="shared" si="12"/>
        <v>-1.6258894995752775E-2</v>
      </c>
      <c r="T28" s="352"/>
    </row>
    <row r="29" spans="1:49">
      <c r="A29" s="265"/>
      <c r="B29" s="416">
        <v>1984</v>
      </c>
      <c r="C29" s="299">
        <v>991182.09136330104</v>
      </c>
      <c r="D29" s="299">
        <v>388.25</v>
      </c>
      <c r="E29" s="299">
        <v>57.905000000000001</v>
      </c>
      <c r="F29" s="318">
        <f t="shared" si="0"/>
        <v>22481.616249999999</v>
      </c>
      <c r="G29" s="299">
        <v>-58232.153600000005</v>
      </c>
      <c r="H29" s="314">
        <f t="shared" si="1"/>
        <v>35750.537350000006</v>
      </c>
      <c r="I29" s="299">
        <v>-29069</v>
      </c>
      <c r="J29" s="299">
        <v>-30176.6</v>
      </c>
      <c r="K29" s="299">
        <f t="shared" si="10"/>
        <v>1013.4463999999934</v>
      </c>
      <c r="L29" s="313">
        <f t="shared" si="3"/>
        <v>5.8750207562674774E-2</v>
      </c>
      <c r="M29" s="313">
        <f t="shared" si="4"/>
        <v>3.6068586853529268E-2</v>
      </c>
      <c r="N29" s="414">
        <v>2.1000000000000001E-2</v>
      </c>
      <c r="O29" s="355">
        <f t="shared" si="5"/>
        <v>7.9750207562674771E-2</v>
      </c>
      <c r="P29" s="355">
        <f t="shared" si="6"/>
        <v>5.7068586853529266E-2</v>
      </c>
      <c r="Q29" s="313">
        <f t="shared" si="13"/>
        <v>3.0445061773154331E-2</v>
      </c>
      <c r="R29" s="313">
        <f t="shared" si="11"/>
        <v>2.9327608169370415E-2</v>
      </c>
      <c r="S29" s="313">
        <f t="shared" si="12"/>
        <v>-1.0224623798499722E-3</v>
      </c>
      <c r="T29" s="352"/>
    </row>
    <row r="30" spans="1:49">
      <c r="A30" s="265"/>
      <c r="B30" s="416">
        <v>1985</v>
      </c>
      <c r="C30" s="299">
        <v>1307219.3706242959</v>
      </c>
      <c r="D30" s="299">
        <v>612.5</v>
      </c>
      <c r="E30" s="299">
        <v>79.335999999999999</v>
      </c>
      <c r="F30" s="318">
        <f t="shared" si="0"/>
        <v>48593.299999999996</v>
      </c>
      <c r="G30" s="299">
        <v>-28714.13399999998</v>
      </c>
      <c r="H30" s="314">
        <f t="shared" si="1"/>
        <v>-19879.166000000016</v>
      </c>
      <c r="I30" s="299">
        <v>-9703</v>
      </c>
      <c r="J30" s="299">
        <v>-20900.14</v>
      </c>
      <c r="K30" s="299">
        <f t="shared" si="10"/>
        <v>1889.0060000000194</v>
      </c>
      <c r="L30" s="313">
        <f t="shared" si="3"/>
        <v>2.1965811282529276E-2</v>
      </c>
      <c r="M30" s="313">
        <f t="shared" si="4"/>
        <v>-1.5207214983745394E-2</v>
      </c>
      <c r="N30" s="414">
        <v>2.6000000000000002E-2</v>
      </c>
      <c r="O30" s="355">
        <f t="shared" si="5"/>
        <v>4.7965811282529275E-2</v>
      </c>
      <c r="P30" s="355">
        <f t="shared" si="6"/>
        <v>1.0792785016254608E-2</v>
      </c>
      <c r="Q30" s="313">
        <f t="shared" si="13"/>
        <v>1.5988242271852662E-2</v>
      </c>
      <c r="R30" s="313">
        <f t="shared" si="11"/>
        <v>7.4226256266123761E-3</v>
      </c>
      <c r="S30" s="313">
        <f t="shared" si="12"/>
        <v>-1.4450566159357602E-3</v>
      </c>
      <c r="T30" s="352"/>
    </row>
    <row r="31" spans="1:49">
      <c r="A31" s="265"/>
      <c r="B31" s="416">
        <v>1986</v>
      </c>
      <c r="C31" s="299">
        <v>1779709.348981041</v>
      </c>
      <c r="D31" s="299">
        <v>702.5</v>
      </c>
      <c r="E31" s="299">
        <v>90.734999999999999</v>
      </c>
      <c r="F31" s="318">
        <f t="shared" si="0"/>
        <v>63741.337500000001</v>
      </c>
      <c r="G31" s="299">
        <v>-25306.439999999977</v>
      </c>
      <c r="H31" s="314">
        <f t="shared" si="1"/>
        <v>-38434.897500000021</v>
      </c>
      <c r="I31" s="299">
        <v>-30950</v>
      </c>
      <c r="J31" s="299">
        <v>11099.6</v>
      </c>
      <c r="K31" s="299">
        <f t="shared" si="10"/>
        <v>-5456.0399999999772</v>
      </c>
      <c r="L31" s="313">
        <f t="shared" si="3"/>
        <v>1.4219422971784121E-2</v>
      </c>
      <c r="M31" s="313">
        <f t="shared" si="4"/>
        <v>-2.1596165419935354E-2</v>
      </c>
      <c r="N31" s="414">
        <v>1.7000000000000001E-2</v>
      </c>
      <c r="O31" s="355">
        <f t="shared" si="5"/>
        <v>3.1219422971784122E-2</v>
      </c>
      <c r="P31" s="355">
        <f t="shared" si="6"/>
        <v>-4.5961654199353531E-3</v>
      </c>
      <c r="Q31" s="313">
        <f t="shared" si="13"/>
        <v>-6.2367487176234653E-3</v>
      </c>
      <c r="R31" s="313">
        <f t="shared" si="11"/>
        <v>1.7390480090313729E-2</v>
      </c>
      <c r="S31" s="313">
        <f t="shared" si="12"/>
        <v>3.0656915990938585E-3</v>
      </c>
      <c r="T31" s="352"/>
    </row>
    <row r="32" spans="1:49">
      <c r="A32" s="265"/>
      <c r="B32" s="416">
        <v>1987</v>
      </c>
      <c r="C32" s="299">
        <v>2523915.3420047355</v>
      </c>
      <c r="D32" s="299">
        <v>807.25</v>
      </c>
      <c r="E32" s="299">
        <v>116.456</v>
      </c>
      <c r="F32" s="318">
        <f t="shared" si="0"/>
        <v>94009.106</v>
      </c>
      <c r="G32" s="299">
        <v>-21444.968599999993</v>
      </c>
      <c r="H32" s="314">
        <f t="shared" si="1"/>
        <v>-72564.137400000007</v>
      </c>
      <c r="I32" s="299">
        <v>-49421</v>
      </c>
      <c r="J32" s="299">
        <v>16858.009999999998</v>
      </c>
      <c r="K32" s="299">
        <f t="shared" si="10"/>
        <v>11118.021400000009</v>
      </c>
      <c r="L32" s="313">
        <f t="shared" si="3"/>
        <v>8.4967067805714683E-3</v>
      </c>
      <c r="M32" s="313">
        <f t="shared" si="4"/>
        <v>-2.875062257134291E-2</v>
      </c>
      <c r="N32" s="414">
        <v>3.0000000000000001E-3</v>
      </c>
      <c r="O32" s="355">
        <f t="shared" si="5"/>
        <v>1.1496706780571467E-2</v>
      </c>
      <c r="P32" s="355">
        <f t="shared" si="6"/>
        <v>-2.5750622571342911E-2</v>
      </c>
      <c r="Q32" s="313">
        <f t="shared" si="13"/>
        <v>-6.6793088181039189E-3</v>
      </c>
      <c r="R32" s="313">
        <f t="shared" si="11"/>
        <v>1.9581084665361678E-2</v>
      </c>
      <c r="S32" s="313">
        <f t="shared" si="12"/>
        <v>-4.4050690666862903E-3</v>
      </c>
      <c r="T32" s="352"/>
    </row>
    <row r="33" spans="1:20">
      <c r="A33" s="265"/>
      <c r="B33" s="416">
        <v>1988</v>
      </c>
      <c r="C33" s="299">
        <v>3429405.8003171985</v>
      </c>
      <c r="D33" s="299">
        <v>933.75</v>
      </c>
      <c r="E33" s="299">
        <v>117.16</v>
      </c>
      <c r="F33" s="318">
        <f t="shared" si="0"/>
        <v>109398.15</v>
      </c>
      <c r="G33" s="299">
        <v>-47795.385599999987</v>
      </c>
      <c r="H33" s="314">
        <f t="shared" si="1"/>
        <v>-61602.764400000007</v>
      </c>
      <c r="I33" s="299">
        <v>-74594</v>
      </c>
      <c r="J33" s="299">
        <v>26470.5</v>
      </c>
      <c r="K33" s="299">
        <f t="shared" si="10"/>
        <v>328.11440000001312</v>
      </c>
      <c r="L33" s="313">
        <f t="shared" si="3"/>
        <v>1.3936929130865533E-2</v>
      </c>
      <c r="M33" s="313">
        <f t="shared" si="4"/>
        <v>-1.7963101477900964E-2</v>
      </c>
      <c r="N33" s="414">
        <v>9.0000000000000011E-3</v>
      </c>
      <c r="O33" s="355">
        <f t="shared" si="5"/>
        <v>2.2936929130865535E-2</v>
      </c>
      <c r="P33" s="355">
        <f t="shared" si="6"/>
        <v>-8.963101477900963E-3</v>
      </c>
      <c r="Q33" s="313">
        <f t="shared" si="13"/>
        <v>-7.7186840931894518E-3</v>
      </c>
      <c r="R33" s="313">
        <f t="shared" si="11"/>
        <v>2.1751289973645151E-2</v>
      </c>
      <c r="S33" s="313">
        <f t="shared" si="12"/>
        <v>-9.5676749590166492E-5</v>
      </c>
      <c r="T33" s="352"/>
    </row>
    <row r="34" spans="1:20">
      <c r="A34" s="265"/>
      <c r="B34" s="416">
        <v>1989</v>
      </c>
      <c r="C34" s="299">
        <v>4858488.9672426693</v>
      </c>
      <c r="D34" s="299">
        <v>1145</v>
      </c>
      <c r="E34" s="299">
        <v>72.111000000000004</v>
      </c>
      <c r="F34" s="318">
        <f t="shared" si="0"/>
        <v>82567.095000000001</v>
      </c>
      <c r="G34" s="299">
        <v>-14746.879999999976</v>
      </c>
      <c r="H34" s="314">
        <f t="shared" si="1"/>
        <v>-67820.215000000026</v>
      </c>
      <c r="I34" s="299">
        <v>-187677</v>
      </c>
      <c r="J34" s="299">
        <v>117765.2</v>
      </c>
      <c r="K34" s="299">
        <f t="shared" si="10"/>
        <v>55164.920000000027</v>
      </c>
      <c r="L34" s="313">
        <f t="shared" si="3"/>
        <v>3.035281154167002E-3</v>
      </c>
      <c r="M34" s="313">
        <f t="shared" si="4"/>
        <v>-1.3959116807152065E-2</v>
      </c>
      <c r="N34" s="414">
        <v>1E-3</v>
      </c>
      <c r="O34" s="355">
        <f t="shared" si="5"/>
        <v>4.035281154167002E-3</v>
      </c>
      <c r="P34" s="355">
        <f t="shared" si="6"/>
        <v>-1.2959116807152064E-2</v>
      </c>
      <c r="Q34" s="313">
        <f t="shared" si="13"/>
        <v>-2.4239058850191255E-2</v>
      </c>
      <c r="R34" s="313">
        <f t="shared" si="11"/>
        <v>3.8628676789300612E-2</v>
      </c>
      <c r="S34" s="313">
        <f t="shared" si="12"/>
        <v>-1.1354336784942354E-2</v>
      </c>
      <c r="T34" s="352"/>
    </row>
    <row r="35" spans="1:20">
      <c r="A35" s="265"/>
      <c r="B35" s="416">
        <v>1990</v>
      </c>
      <c r="C35" s="299">
        <v>7003958.8827211782</v>
      </c>
      <c r="D35" s="299">
        <v>1229.9166666666667</v>
      </c>
      <c r="E35" s="299">
        <v>78.95</v>
      </c>
      <c r="F35" s="318">
        <f t="shared" si="0"/>
        <v>97101.920833333337</v>
      </c>
      <c r="G35" s="299">
        <v>360775</v>
      </c>
      <c r="H35" s="314">
        <f t="shared" si="1"/>
        <v>-457876.92083333334</v>
      </c>
      <c r="I35" s="299">
        <v>104859</v>
      </c>
      <c r="J35" s="299">
        <v>200595.6</v>
      </c>
      <c r="K35" s="299">
        <f t="shared" si="10"/>
        <v>55320.399999999994</v>
      </c>
      <c r="L35" s="313">
        <f t="shared" si="3"/>
        <v>-5.151015390596235E-2</v>
      </c>
      <c r="M35" s="313">
        <f t="shared" si="4"/>
        <v>-6.5374016110077302E-2</v>
      </c>
      <c r="N35" s="413"/>
      <c r="O35" s="355">
        <f t="shared" si="5"/>
        <v>-5.151015390596235E-2</v>
      </c>
      <c r="P35" s="355">
        <f t="shared" si="6"/>
        <v>-6.5374016110077302E-2</v>
      </c>
      <c r="Q35" s="313">
        <f t="shared" si="13"/>
        <v>-2.8640316620771565E-2</v>
      </c>
      <c r="R35" s="313">
        <f t="shared" si="11"/>
        <v>-1.4971390003257727E-2</v>
      </c>
      <c r="S35" s="313">
        <f t="shared" si="12"/>
        <v>-7.8984472819330596E-3</v>
      </c>
      <c r="T35" s="352"/>
    </row>
    <row r="36" spans="1:20">
      <c r="A36" s="265"/>
      <c r="B36" s="416">
        <v>1991</v>
      </c>
      <c r="C36" s="299">
        <v>9255684.1593739633</v>
      </c>
      <c r="D36" s="299">
        <v>1322.2727272727273</v>
      </c>
      <c r="E36" s="299">
        <v>90.400999999999996</v>
      </c>
      <c r="F36" s="318">
        <f t="shared" si="0"/>
        <v>119534.77681818181</v>
      </c>
      <c r="G36" s="299">
        <v>169426</v>
      </c>
      <c r="H36" s="314">
        <f t="shared" si="1"/>
        <v>-288960.7768181818</v>
      </c>
      <c r="I36" s="299">
        <v>127906</v>
      </c>
      <c r="J36" s="299">
        <v>-3503.9999999997672</v>
      </c>
      <c r="K36" s="299">
        <f t="shared" si="10"/>
        <v>45023.999999999767</v>
      </c>
      <c r="L36" s="313">
        <f t="shared" si="3"/>
        <v>-1.8305075787229504E-2</v>
      </c>
      <c r="M36" s="313">
        <f t="shared" si="4"/>
        <v>-3.1219818204959855E-2</v>
      </c>
      <c r="N36" s="413"/>
      <c r="O36" s="355">
        <f t="shared" si="5"/>
        <v>-1.8305075787229504E-2</v>
      </c>
      <c r="P36" s="355">
        <f t="shared" si="6"/>
        <v>-3.1219818204959855E-2</v>
      </c>
      <c r="Q36" s="313">
        <f t="shared" si="13"/>
        <v>3.785781731165696E-4</v>
      </c>
      <c r="R36" s="313">
        <f t="shared" si="11"/>
        <v>-1.3819183735916429E-2</v>
      </c>
      <c r="S36" s="313">
        <f t="shared" si="12"/>
        <v>-4.8644702244296442E-3</v>
      </c>
      <c r="T36" s="352"/>
    </row>
    <row r="37" spans="1:20">
      <c r="A37" s="265"/>
      <c r="B37" s="416">
        <v>1992</v>
      </c>
      <c r="C37" s="299">
        <v>10738283.273766331</v>
      </c>
      <c r="D37" s="299">
        <v>1498.5454545454545</v>
      </c>
      <c r="E37" s="299">
        <v>248.19499999999999</v>
      </c>
      <c r="F37" s="318">
        <f t="shared" si="0"/>
        <v>371931.48909090908</v>
      </c>
      <c r="G37" s="299">
        <v>20749</v>
      </c>
      <c r="H37" s="314">
        <f t="shared" si="1"/>
        <v>-392680.48909090908</v>
      </c>
      <c r="I37" s="299">
        <v>88571</v>
      </c>
      <c r="J37" s="299">
        <v>-36380.149999999674</v>
      </c>
      <c r="K37" s="299">
        <f t="shared" si="10"/>
        <v>-31441.850000000326</v>
      </c>
      <c r="L37" s="313">
        <f t="shared" si="3"/>
        <v>-1.932245543446399E-3</v>
      </c>
      <c r="M37" s="313">
        <f t="shared" si="4"/>
        <v>-3.6568274376801838E-2</v>
      </c>
      <c r="N37" s="413"/>
      <c r="O37" s="355">
        <f t="shared" si="5"/>
        <v>-1.932245543446399E-3</v>
      </c>
      <c r="P37" s="355">
        <f t="shared" si="6"/>
        <v>-3.6568274376801838E-2</v>
      </c>
      <c r="Q37" s="313">
        <f t="shared" si="13"/>
        <v>3.3878925590346944E-3</v>
      </c>
      <c r="R37" s="313">
        <f t="shared" si="11"/>
        <v>-8.2481526834349127E-3</v>
      </c>
      <c r="S37" s="313">
        <f t="shared" si="12"/>
        <v>2.928014580953819E-3</v>
      </c>
      <c r="T37" s="352"/>
    </row>
    <row r="38" spans="1:20">
      <c r="A38" s="265"/>
      <c r="B38" s="416">
        <v>1993</v>
      </c>
      <c r="C38" s="299">
        <v>12645361.493907506</v>
      </c>
      <c r="D38" s="299">
        <v>1742.4545454545455</v>
      </c>
      <c r="E38" s="299">
        <v>83.823999999999998</v>
      </c>
      <c r="F38" s="318">
        <f t="shared" ref="F38:F61" si="14">((E38*D38))</f>
        <v>146059.50981818183</v>
      </c>
      <c r="G38" s="299">
        <v>199412</v>
      </c>
      <c r="H38" s="314">
        <f t="shared" si="1"/>
        <v>-345471.50981818186</v>
      </c>
      <c r="I38" s="299">
        <v>95436</v>
      </c>
      <c r="J38" s="299">
        <v>54739.449999999721</v>
      </c>
      <c r="K38" s="299">
        <f t="shared" si="10"/>
        <v>49236.550000000279</v>
      </c>
      <c r="L38" s="313">
        <f t="shared" si="3"/>
        <v>-1.5769576859947898E-2</v>
      </c>
      <c r="M38" s="313">
        <f t="shared" si="4"/>
        <v>-2.7320018489359037E-2</v>
      </c>
      <c r="N38" s="413"/>
      <c r="O38" s="355">
        <f t="shared" si="5"/>
        <v>-1.5769576859947898E-2</v>
      </c>
      <c r="P38" s="355">
        <f t="shared" si="6"/>
        <v>-2.7320018489359037E-2</v>
      </c>
      <c r="Q38" s="313">
        <f t="shared" si="13"/>
        <v>-4.3288165408614859E-3</v>
      </c>
      <c r="R38" s="313">
        <f t="shared" si="11"/>
        <v>-7.5471152047318505E-3</v>
      </c>
      <c r="S38" s="313">
        <f t="shared" si="12"/>
        <v>-3.893645114354563E-3</v>
      </c>
      <c r="T38" s="352"/>
    </row>
    <row r="39" spans="1:20">
      <c r="A39" s="265"/>
      <c r="B39" s="416">
        <v>1994</v>
      </c>
      <c r="C39" s="299">
        <v>14992331.683506493</v>
      </c>
      <c r="D39" s="299">
        <v>1913.1818181818182</v>
      </c>
      <c r="E39" s="299">
        <v>82.805999999999997</v>
      </c>
      <c r="F39" s="318">
        <f t="shared" si="14"/>
        <v>158422.93363636362</v>
      </c>
      <c r="G39" s="299">
        <v>429355</v>
      </c>
      <c r="H39" s="314">
        <f t="shared" ref="H39:H60" si="15">+(G39+F39)*-1</f>
        <v>-587777.9336363636</v>
      </c>
      <c r="I39" s="299">
        <v>59172</v>
      </c>
      <c r="J39" s="299">
        <v>198702.1</v>
      </c>
      <c r="K39" s="299">
        <f t="shared" si="10"/>
        <v>171480.9</v>
      </c>
      <c r="L39" s="313">
        <f t="shared" ref="L39:L60" si="16">+G39/C39*-1</f>
        <v>-2.8638307173549669E-2</v>
      </c>
      <c r="M39" s="313">
        <f t="shared" ref="M39:M60" si="17">+H39/C39</f>
        <v>-3.9205238120698427E-2</v>
      </c>
      <c r="N39" s="413"/>
      <c r="O39" s="355">
        <f t="shared" ref="O39:O60" si="18">L39+N39</f>
        <v>-2.8638307173549669E-2</v>
      </c>
      <c r="P39" s="355">
        <f t="shared" ref="P39:P60" si="19">M39+N39</f>
        <v>-3.9205238120698427E-2</v>
      </c>
      <c r="Q39" s="313">
        <f t="shared" si="13"/>
        <v>-1.3253582177520663E-2</v>
      </c>
      <c r="R39" s="313">
        <f t="shared" si="11"/>
        <v>-3.9468176964825869E-3</v>
      </c>
      <c r="S39" s="313">
        <f t="shared" si="12"/>
        <v>-1.1437907299546421E-2</v>
      </c>
      <c r="T39" s="352"/>
    </row>
    <row r="40" spans="1:20">
      <c r="A40" s="265"/>
      <c r="B40" s="416">
        <v>1995</v>
      </c>
      <c r="C40" s="299">
        <v>17789145.328094486</v>
      </c>
      <c r="D40" s="299">
        <v>1971.4545454545455</v>
      </c>
      <c r="E40" s="299">
        <v>64.617000000000004</v>
      </c>
      <c r="F40" s="318">
        <f t="shared" si="14"/>
        <v>127389.47836363637</v>
      </c>
      <c r="G40" s="299">
        <v>193567</v>
      </c>
      <c r="H40" s="314">
        <f t="shared" si="15"/>
        <v>-320956.47836363636</v>
      </c>
      <c r="I40" s="299">
        <v>213403</v>
      </c>
      <c r="J40" s="299">
        <v>-24175</v>
      </c>
      <c r="K40" s="299">
        <f t="shared" si="10"/>
        <v>4339</v>
      </c>
      <c r="L40" s="313">
        <f t="shared" si="16"/>
        <v>-1.0881186050815981E-2</v>
      </c>
      <c r="M40" s="313">
        <f t="shared" si="17"/>
        <v>-1.8042265237821639E-2</v>
      </c>
      <c r="N40" s="413"/>
      <c r="O40" s="355">
        <f t="shared" si="18"/>
        <v>-1.0881186050815981E-2</v>
      </c>
      <c r="P40" s="355">
        <f t="shared" si="19"/>
        <v>-1.8042265237821639E-2</v>
      </c>
      <c r="Q40" s="313">
        <f t="shared" si="13"/>
        <v>1.3589747879466868E-3</v>
      </c>
      <c r="R40" s="313">
        <f t="shared" si="11"/>
        <v>-1.1996248052624068E-2</v>
      </c>
      <c r="S40" s="313">
        <f t="shared" si="12"/>
        <v>-2.439127861386008E-4</v>
      </c>
      <c r="T40" s="352"/>
    </row>
    <row r="41" spans="1:20">
      <c r="A41" s="265"/>
      <c r="B41" s="416">
        <v>1996</v>
      </c>
      <c r="C41" s="299">
        <v>20132862.098148197</v>
      </c>
      <c r="D41" s="299">
        <v>2109</v>
      </c>
      <c r="E41" s="299">
        <v>59.956000000000003</v>
      </c>
      <c r="F41" s="318">
        <f t="shared" si="14"/>
        <v>126447.20400000001</v>
      </c>
      <c r="G41" s="299">
        <v>191595</v>
      </c>
      <c r="H41" s="314">
        <f t="shared" si="15"/>
        <v>-318042.20400000003</v>
      </c>
      <c r="I41" s="299">
        <v>189684</v>
      </c>
      <c r="J41" s="299">
        <v>-194043.62599999923</v>
      </c>
      <c r="K41" s="299">
        <f t="shared" si="10"/>
        <v>195954.62599999923</v>
      </c>
      <c r="L41" s="313">
        <f t="shared" si="16"/>
        <v>-9.5165306882831497E-3</v>
      </c>
      <c r="M41" s="313">
        <f t="shared" si="17"/>
        <v>-1.5797167956028133E-2</v>
      </c>
      <c r="N41" s="413"/>
      <c r="O41" s="355">
        <f t="shared" si="18"/>
        <v>-9.5165306882831497E-3</v>
      </c>
      <c r="P41" s="355">
        <f t="shared" si="19"/>
        <v>-1.5797167956028133E-2</v>
      </c>
      <c r="Q41" s="313">
        <f t="shared" si="13"/>
        <v>9.6381540316539099E-3</v>
      </c>
      <c r="R41" s="313">
        <f t="shared" si="11"/>
        <v>-9.4216112480821571E-3</v>
      </c>
      <c r="S41" s="313">
        <f t="shared" si="12"/>
        <v>-9.7330734718549024E-3</v>
      </c>
      <c r="T41" s="352"/>
    </row>
    <row r="42" spans="1:20">
      <c r="A42" s="265"/>
      <c r="B42" s="416">
        <v>1997</v>
      </c>
      <c r="C42" s="299">
        <v>21702866.395208146</v>
      </c>
      <c r="D42" s="299">
        <v>2330</v>
      </c>
      <c r="E42" s="299">
        <v>58.42</v>
      </c>
      <c r="F42" s="318">
        <f t="shared" si="14"/>
        <v>136118.6</v>
      </c>
      <c r="G42" s="299">
        <v>-178067</v>
      </c>
      <c r="H42" s="314">
        <f t="shared" si="15"/>
        <v>41948.399999999994</v>
      </c>
      <c r="I42" s="299">
        <v>-53352</v>
      </c>
      <c r="J42" s="299">
        <v>-220842.37354200007</v>
      </c>
      <c r="K42" s="299">
        <f t="shared" si="10"/>
        <v>96127.373542000074</v>
      </c>
      <c r="L42" s="313">
        <f t="shared" si="16"/>
        <v>8.2047687506990336E-3</v>
      </c>
      <c r="M42" s="313">
        <f t="shared" si="17"/>
        <v>1.9328506767779731E-3</v>
      </c>
      <c r="N42" s="413"/>
      <c r="O42" s="355">
        <f t="shared" si="18"/>
        <v>8.2047687506990336E-3</v>
      </c>
      <c r="P42" s="355">
        <f t="shared" si="19"/>
        <v>1.9328506767779731E-3</v>
      </c>
      <c r="Q42" s="313">
        <f t="shared" si="13"/>
        <v>1.0175723774015429E-2</v>
      </c>
      <c r="R42" s="313">
        <f t="shared" si="11"/>
        <v>2.4582927908444285E-3</v>
      </c>
      <c r="S42" s="313">
        <f t="shared" si="12"/>
        <v>-4.4292478141608237E-3</v>
      </c>
      <c r="T42" s="352"/>
    </row>
    <row r="43" spans="1:20">
      <c r="A43" s="265"/>
      <c r="B43" s="416">
        <v>1998</v>
      </c>
      <c r="C43" s="299">
        <v>24605392.360497016</v>
      </c>
      <c r="D43" s="299">
        <v>2840</v>
      </c>
      <c r="E43" s="299">
        <v>62.271999999999998</v>
      </c>
      <c r="F43" s="318">
        <f t="shared" si="14"/>
        <v>176852.47999999998</v>
      </c>
      <c r="G43" s="299">
        <v>399519</v>
      </c>
      <c r="H43" s="314">
        <f t="shared" si="15"/>
        <v>-576371.48</v>
      </c>
      <c r="I43" s="299">
        <v>83674</v>
      </c>
      <c r="J43" s="299">
        <v>-88931.641506999731</v>
      </c>
      <c r="K43" s="299">
        <f t="shared" si="10"/>
        <v>404776.64150699973</v>
      </c>
      <c r="L43" s="313">
        <f t="shared" si="16"/>
        <v>-1.623705056788332E-2</v>
      </c>
      <c r="M43" s="313">
        <f t="shared" si="17"/>
        <v>-2.3424600248413092E-2</v>
      </c>
      <c r="N43" s="413"/>
      <c r="O43" s="355">
        <f t="shared" si="18"/>
        <v>-1.623705056788332E-2</v>
      </c>
      <c r="P43" s="355">
        <f t="shared" si="19"/>
        <v>-2.3424600248413092E-2</v>
      </c>
      <c r="Q43" s="313">
        <f t="shared" si="13"/>
        <v>3.6143151145102631E-3</v>
      </c>
      <c r="R43" s="313">
        <f t="shared" si="11"/>
        <v>-3.4006366886607871E-3</v>
      </c>
      <c r="S43" s="313">
        <f t="shared" si="12"/>
        <v>-1.6450728993732795E-2</v>
      </c>
      <c r="T43" s="352"/>
    </row>
    <row r="44" spans="1:20">
      <c r="A44" s="265"/>
      <c r="B44" s="416">
        <v>1999</v>
      </c>
      <c r="C44" s="299">
        <v>26176950.737209246</v>
      </c>
      <c r="D44" s="299">
        <v>3315</v>
      </c>
      <c r="E44" s="299">
        <v>62.3</v>
      </c>
      <c r="F44" s="318">
        <f t="shared" si="14"/>
        <v>206524.5</v>
      </c>
      <c r="G44" s="299">
        <v>-779229.40722200007</v>
      </c>
      <c r="H44" s="314">
        <f t="shared" si="15"/>
        <v>572704.90722200007</v>
      </c>
      <c r="I44" s="299">
        <v>-61029.698244000319</v>
      </c>
      <c r="J44" s="299">
        <v>-804688.3963779998</v>
      </c>
      <c r="K44" s="299">
        <f t="shared" si="10"/>
        <v>86488.687400000053</v>
      </c>
      <c r="L44" s="313">
        <f t="shared" si="16"/>
        <v>2.9767768409876855E-2</v>
      </c>
      <c r="M44" s="313">
        <f t="shared" si="17"/>
        <v>2.1878213126173184E-2</v>
      </c>
      <c r="N44" s="413"/>
      <c r="O44" s="355">
        <f t="shared" si="18"/>
        <v>2.9767768409876855E-2</v>
      </c>
      <c r="P44" s="355">
        <f t="shared" si="19"/>
        <v>2.1878213126173184E-2</v>
      </c>
      <c r="Q44" s="313">
        <f t="shared" si="13"/>
        <v>3.0740341167169439E-2</v>
      </c>
      <c r="R44" s="313">
        <f t="shared" si="11"/>
        <v>2.3314288534473809E-3</v>
      </c>
      <c r="S44" s="313">
        <f t="shared" si="12"/>
        <v>-3.3040016107399647E-3</v>
      </c>
      <c r="T44" s="352"/>
    </row>
    <row r="45" spans="1:20">
      <c r="A45" s="265"/>
      <c r="B45" s="416">
        <v>2000</v>
      </c>
      <c r="C45" s="299">
        <v>28574100.862382505</v>
      </c>
      <c r="D45" s="299">
        <v>3545</v>
      </c>
      <c r="E45" s="299">
        <v>94.647000000000006</v>
      </c>
      <c r="F45" s="318">
        <f t="shared" si="14"/>
        <v>335523.61499999999</v>
      </c>
      <c r="G45" s="299">
        <v>-854267.2575999992</v>
      </c>
      <c r="H45" s="314">
        <f t="shared" si="15"/>
        <v>518743.64259999921</v>
      </c>
      <c r="I45" s="299">
        <v>213982.17079999996</v>
      </c>
      <c r="J45" s="299">
        <v>-1126392.8396280005</v>
      </c>
      <c r="K45" s="299">
        <f t="shared" si="10"/>
        <v>58143.411228001351</v>
      </c>
      <c r="L45" s="313">
        <f t="shared" si="16"/>
        <v>2.9896557785467636E-2</v>
      </c>
      <c r="M45" s="313">
        <f t="shared" si="17"/>
        <v>1.8154329513231319E-2</v>
      </c>
      <c r="N45" s="413"/>
      <c r="O45" s="355">
        <f t="shared" si="18"/>
        <v>2.9896557785467636E-2</v>
      </c>
      <c r="P45" s="355">
        <f t="shared" si="19"/>
        <v>1.8154329513231319E-2</v>
      </c>
      <c r="Q45" s="313">
        <f t="shared" si="13"/>
        <v>3.9420062421312602E-2</v>
      </c>
      <c r="R45" s="313">
        <f t="shared" si="11"/>
        <v>-7.4886755608014662E-3</v>
      </c>
      <c r="S45" s="313">
        <f t="shared" si="12"/>
        <v>-2.0348290750434959E-3</v>
      </c>
      <c r="T45" s="352"/>
    </row>
    <row r="46" spans="1:20">
      <c r="A46" s="265"/>
      <c r="B46" s="416">
        <v>2001</v>
      </c>
      <c r="C46" s="299">
        <v>31462078.100319903</v>
      </c>
      <c r="D46" s="299">
        <v>4635</v>
      </c>
      <c r="E46" s="299">
        <v>104.27500000000001</v>
      </c>
      <c r="F46" s="318">
        <f t="shared" si="14"/>
        <v>483314.625</v>
      </c>
      <c r="G46" s="299">
        <v>288328.69422000169</v>
      </c>
      <c r="H46" s="314">
        <f t="shared" si="15"/>
        <v>-771643.31922000169</v>
      </c>
      <c r="I46" s="299">
        <v>343100.54602000071</v>
      </c>
      <c r="J46" s="299">
        <v>-231622.69122200087</v>
      </c>
      <c r="K46" s="299">
        <f t="shared" si="10"/>
        <v>176850.83942200185</v>
      </c>
      <c r="L46" s="313">
        <f t="shared" si="16"/>
        <v>-9.1643245338288697E-3</v>
      </c>
      <c r="M46" s="313">
        <f t="shared" si="17"/>
        <v>-2.4526139588095287E-2</v>
      </c>
      <c r="N46" s="413"/>
      <c r="O46" s="355">
        <f t="shared" si="18"/>
        <v>-9.1643245338288697E-3</v>
      </c>
      <c r="P46" s="355">
        <f t="shared" si="19"/>
        <v>-2.4526139588095287E-2</v>
      </c>
      <c r="Q46" s="313">
        <f t="shared" si="13"/>
        <v>7.3619641551791121E-3</v>
      </c>
      <c r="R46" s="313">
        <f t="shared" si="11"/>
        <v>-1.0905209278484122E-2</v>
      </c>
      <c r="S46" s="313">
        <f t="shared" si="12"/>
        <v>-5.6210794105238599E-3</v>
      </c>
      <c r="T46" s="352"/>
    </row>
    <row r="47" spans="1:20">
      <c r="A47" s="265"/>
      <c r="B47" s="416">
        <v>2002</v>
      </c>
      <c r="C47" s="299">
        <v>36156212.343866736</v>
      </c>
      <c r="D47" s="299">
        <v>7000</v>
      </c>
      <c r="E47" s="299">
        <v>74.924999999999997</v>
      </c>
      <c r="F47" s="318">
        <f t="shared" si="14"/>
        <v>524475</v>
      </c>
      <c r="G47" s="299">
        <v>-807205.7543900006</v>
      </c>
      <c r="H47" s="314">
        <f t="shared" si="15"/>
        <v>282730.7543900006</v>
      </c>
      <c r="I47" s="299">
        <v>68177.375900000334</v>
      </c>
      <c r="J47" s="299">
        <v>-948476.1867750017</v>
      </c>
      <c r="K47" s="299">
        <f t="shared" si="10"/>
        <v>73093.056485000765</v>
      </c>
      <c r="L47" s="313">
        <f t="shared" si="16"/>
        <v>2.2325506519128763E-2</v>
      </c>
      <c r="M47" s="313">
        <f t="shared" si="17"/>
        <v>7.8197005731979255E-3</v>
      </c>
      <c r="N47" s="413"/>
      <c r="O47" s="355">
        <f t="shared" si="18"/>
        <v>2.2325506519128763E-2</v>
      </c>
      <c r="P47" s="355">
        <f t="shared" si="19"/>
        <v>7.8197005731979255E-3</v>
      </c>
      <c r="Q47" s="313">
        <f t="shared" si="13"/>
        <v>2.6232730844548597E-2</v>
      </c>
      <c r="R47" s="313">
        <f t="shared" si="11"/>
        <v>-1.8856337951440709E-3</v>
      </c>
      <c r="S47" s="313">
        <f t="shared" si="12"/>
        <v>-2.0215905302757662E-3</v>
      </c>
      <c r="T47" s="352"/>
    </row>
    <row r="48" spans="1:20">
      <c r="A48" s="265"/>
      <c r="B48" s="416">
        <v>2003</v>
      </c>
      <c r="C48" s="299">
        <v>42324219.772408746</v>
      </c>
      <c r="D48" s="299">
        <v>6070</v>
      </c>
      <c r="E48" s="299">
        <v>82.24</v>
      </c>
      <c r="F48" s="318">
        <f t="shared" si="14"/>
        <v>499196.8</v>
      </c>
      <c r="G48" s="299">
        <v>391457.80328299926</v>
      </c>
      <c r="H48" s="314">
        <f t="shared" si="15"/>
        <v>-890654.60328299925</v>
      </c>
      <c r="I48" s="299">
        <v>332888.88089799974</v>
      </c>
      <c r="J48" s="299">
        <v>-131185.68306900002</v>
      </c>
      <c r="K48" s="299">
        <f t="shared" si="10"/>
        <v>189754.60545399954</v>
      </c>
      <c r="L48" s="313">
        <f t="shared" si="16"/>
        <v>-9.2490258624493647E-3</v>
      </c>
      <c r="M48" s="313">
        <f t="shared" si="17"/>
        <v>-2.1043615406789354E-2</v>
      </c>
      <c r="N48" s="413"/>
      <c r="O48" s="355">
        <f t="shared" si="18"/>
        <v>-9.2490258624493647E-3</v>
      </c>
      <c r="P48" s="355">
        <f t="shared" si="19"/>
        <v>-2.1043615406789354E-2</v>
      </c>
      <c r="Q48" s="313">
        <f t="shared" si="13"/>
        <v>3.0995416755330305E-3</v>
      </c>
      <c r="R48" s="313">
        <f t="shared" si="11"/>
        <v>-7.8652101016404505E-3</v>
      </c>
      <c r="S48" s="313">
        <f t="shared" si="12"/>
        <v>-4.4833574363419447E-3</v>
      </c>
      <c r="T48" s="352"/>
    </row>
    <row r="49" spans="1:20">
      <c r="A49" s="265"/>
      <c r="B49" s="416">
        <v>2004</v>
      </c>
      <c r="C49" s="299">
        <v>47999043.589724079</v>
      </c>
      <c r="D49" s="299">
        <v>6240</v>
      </c>
      <c r="E49" s="299">
        <v>108.599</v>
      </c>
      <c r="F49" s="318">
        <f t="shared" si="14"/>
        <v>677657.76</v>
      </c>
      <c r="G49" s="299">
        <v>961610.60416584101</v>
      </c>
      <c r="H49" s="314">
        <f t="shared" si="15"/>
        <v>-1639268.3641658411</v>
      </c>
      <c r="I49" s="299">
        <v>140168.53053524159</v>
      </c>
      <c r="J49" s="299">
        <v>665689.98829399887</v>
      </c>
      <c r="K49" s="299">
        <f t="shared" si="10"/>
        <v>155752.08533660055</v>
      </c>
      <c r="L49" s="313">
        <f t="shared" si="16"/>
        <v>-2.0033953434266102E-2</v>
      </c>
      <c r="M49" s="313">
        <f t="shared" si="17"/>
        <v>-3.4152104741453339E-2</v>
      </c>
      <c r="N49" s="413"/>
      <c r="O49" s="355">
        <f t="shared" si="18"/>
        <v>-2.0033953434266102E-2</v>
      </c>
      <c r="P49" s="355">
        <f t="shared" si="19"/>
        <v>-3.4152104741453339E-2</v>
      </c>
      <c r="Q49" s="313">
        <f t="shared" si="13"/>
        <v>-1.3868817761954611E-2</v>
      </c>
      <c r="R49" s="313">
        <f t="shared" si="11"/>
        <v>-2.9202359058097919E-3</v>
      </c>
      <c r="S49" s="313">
        <f t="shared" si="12"/>
        <v>-3.2448997665016992E-3</v>
      </c>
      <c r="T49" s="352"/>
    </row>
    <row r="50" spans="1:20">
      <c r="A50" s="265"/>
      <c r="B50" s="416">
        <v>2005</v>
      </c>
      <c r="C50" s="299">
        <v>53962326.67652221</v>
      </c>
      <c r="D50" s="299">
        <v>6100</v>
      </c>
      <c r="E50" s="299">
        <v>89.748999999999995</v>
      </c>
      <c r="F50" s="318">
        <f t="shared" si="14"/>
        <v>547468.9</v>
      </c>
      <c r="G50" s="299">
        <v>703508.80912967178</v>
      </c>
      <c r="H50" s="314">
        <f t="shared" si="15"/>
        <v>-1250977.7091296718</v>
      </c>
      <c r="I50" s="299">
        <v>198677.61822190043</v>
      </c>
      <c r="J50" s="299">
        <v>374282.92539317161</v>
      </c>
      <c r="K50" s="299">
        <f t="shared" si="10"/>
        <v>130548.26551459974</v>
      </c>
      <c r="L50" s="313">
        <f t="shared" si="16"/>
        <v>-1.30370362521035E-2</v>
      </c>
      <c r="M50" s="313">
        <f t="shared" si="17"/>
        <v>-2.3182427189040088E-2</v>
      </c>
      <c r="N50" s="413"/>
      <c r="O50" s="355">
        <f t="shared" si="18"/>
        <v>-1.30370362521035E-2</v>
      </c>
      <c r="P50" s="355">
        <f t="shared" si="19"/>
        <v>-2.3182427189040088E-2</v>
      </c>
      <c r="Q50" s="313">
        <f t="shared" si="13"/>
        <v>-6.9360042171052946E-3</v>
      </c>
      <c r="R50" s="313">
        <f t="shared" si="11"/>
        <v>-3.6817837639373059E-3</v>
      </c>
      <c r="S50" s="313">
        <f t="shared" si="12"/>
        <v>-2.4192482710608983E-3</v>
      </c>
      <c r="T50" s="352"/>
    </row>
    <row r="51" spans="1:20">
      <c r="A51" s="265"/>
      <c r="B51" s="416">
        <v>2006</v>
      </c>
      <c r="C51" s="299">
        <v>59996506.118773416</v>
      </c>
      <c r="D51" s="299">
        <v>5170</v>
      </c>
      <c r="E51" s="299">
        <v>93.608000000000004</v>
      </c>
      <c r="F51" s="318">
        <f t="shared" si="14"/>
        <v>483953.36000000004</v>
      </c>
      <c r="G51" s="299">
        <v>1194283.0230276671</v>
      </c>
      <c r="H51" s="314">
        <f t="shared" si="15"/>
        <v>-1678236.3830276672</v>
      </c>
      <c r="I51" s="299">
        <v>604546.5072820643</v>
      </c>
      <c r="J51" s="299">
        <v>264412.04938700236</v>
      </c>
      <c r="K51" s="299">
        <f t="shared" si="10"/>
        <v>325324.46635860042</v>
      </c>
      <c r="L51" s="313">
        <f t="shared" si="16"/>
        <v>-1.9905876196580151E-2</v>
      </c>
      <c r="M51" s="313">
        <f t="shared" si="17"/>
        <v>-2.7972235244920918E-2</v>
      </c>
      <c r="N51" s="413"/>
      <c r="O51" s="355">
        <f t="shared" si="18"/>
        <v>-1.9905876196580151E-2</v>
      </c>
      <c r="P51" s="355">
        <f t="shared" si="19"/>
        <v>-2.7972235244920918E-2</v>
      </c>
      <c r="Q51" s="313">
        <f t="shared" si="13"/>
        <v>-4.407124122587292E-3</v>
      </c>
      <c r="R51" s="313">
        <f t="shared" si="11"/>
        <v>-1.0076361881561243E-2</v>
      </c>
      <c r="S51" s="313">
        <f t="shared" si="12"/>
        <v>-5.4223901924316158E-3</v>
      </c>
      <c r="T51" s="352"/>
    </row>
    <row r="52" spans="1:20">
      <c r="A52" s="265"/>
      <c r="B52" s="416">
        <v>2007</v>
      </c>
      <c r="C52" s="299">
        <v>69426262.232025474</v>
      </c>
      <c r="D52" s="299">
        <v>4850</v>
      </c>
      <c r="E52" s="299">
        <v>103.40600000000001</v>
      </c>
      <c r="F52" s="318">
        <f t="shared" si="14"/>
        <v>501519.10000000003</v>
      </c>
      <c r="G52" s="299">
        <v>1187331.5705753986</v>
      </c>
      <c r="H52" s="314">
        <f t="shared" si="15"/>
        <v>-1688850.6705753987</v>
      </c>
      <c r="I52" s="299">
        <v>194636.15886600036</v>
      </c>
      <c r="J52" s="299">
        <v>592820.825736003</v>
      </c>
      <c r="K52" s="299">
        <f t="shared" si="10"/>
        <v>399874.58597339527</v>
      </c>
      <c r="L52" s="313">
        <f t="shared" si="16"/>
        <v>-1.7102052341623791E-2</v>
      </c>
      <c r="M52" s="313">
        <f t="shared" si="17"/>
        <v>-2.4325818736016483E-2</v>
      </c>
      <c r="N52" s="413"/>
      <c r="O52" s="355">
        <f t="shared" si="18"/>
        <v>-1.7102052341623791E-2</v>
      </c>
      <c r="P52" s="355">
        <f t="shared" si="19"/>
        <v>-2.4325818736016483E-2</v>
      </c>
      <c r="Q52" s="313">
        <f t="shared" si="13"/>
        <v>-8.5388555667129384E-3</v>
      </c>
      <c r="R52" s="313">
        <f t="shared" si="11"/>
        <v>-2.803494709473458E-3</v>
      </c>
      <c r="S52" s="313">
        <f t="shared" si="12"/>
        <v>-5.7597020654373944E-3</v>
      </c>
      <c r="T52" s="352"/>
    </row>
    <row r="53" spans="1:20">
      <c r="A53" s="265"/>
      <c r="B53" s="416">
        <v>2008</v>
      </c>
      <c r="C53" s="299">
        <v>80734753.24228245</v>
      </c>
      <c r="D53" s="299">
        <v>4930</v>
      </c>
      <c r="E53" s="299">
        <v>92.009</v>
      </c>
      <c r="F53" s="318">
        <f t="shared" si="14"/>
        <v>453604.37</v>
      </c>
      <c r="G53" s="299">
        <v>2347223.9497665968</v>
      </c>
      <c r="H53" s="314">
        <f t="shared" si="15"/>
        <v>-2800828.3197665969</v>
      </c>
      <c r="I53" s="299">
        <v>63849.559054999612</v>
      </c>
      <c r="J53" s="299">
        <v>1830511.3103979994</v>
      </c>
      <c r="K53" s="299">
        <f t="shared" si="10"/>
        <v>452863.08031359781</v>
      </c>
      <c r="L53" s="313">
        <f t="shared" si="16"/>
        <v>-2.9073278303367717E-2</v>
      </c>
      <c r="M53" s="313">
        <f t="shared" si="17"/>
        <v>-3.4691730726684696E-2</v>
      </c>
      <c r="N53" s="413"/>
      <c r="O53" s="355">
        <f t="shared" si="18"/>
        <v>-2.9073278303367717E-2</v>
      </c>
      <c r="P53" s="355">
        <f t="shared" si="19"/>
        <v>-3.4691730726684696E-2</v>
      </c>
      <c r="Q53" s="313">
        <f t="shared" si="13"/>
        <v>-2.2673151733116625E-2</v>
      </c>
      <c r="R53" s="313">
        <f t="shared" si="11"/>
        <v>-7.9085593862396656E-4</v>
      </c>
      <c r="S53" s="313">
        <f t="shared" si="12"/>
        <v>-5.609270631627126E-3</v>
      </c>
      <c r="T53" s="352"/>
    </row>
    <row r="54" spans="1:20">
      <c r="A54" s="265"/>
      <c r="B54" s="416">
        <v>2009</v>
      </c>
      <c r="C54" s="299">
        <v>79117170.176796183</v>
      </c>
      <c r="D54" s="299">
        <v>4600</v>
      </c>
      <c r="E54" s="299">
        <v>87.870999999999995</v>
      </c>
      <c r="F54" s="318">
        <f t="shared" si="14"/>
        <v>404206.6</v>
      </c>
      <c r="G54" s="299">
        <v>-372113.91863440239</v>
      </c>
      <c r="H54" s="314">
        <f t="shared" si="15"/>
        <v>-32092.681365597586</v>
      </c>
      <c r="I54" s="299">
        <v>-842497.797487</v>
      </c>
      <c r="J54" s="299">
        <v>44639.144186995924</v>
      </c>
      <c r="K54" s="299">
        <f t="shared" si="10"/>
        <v>425744.73466560169</v>
      </c>
      <c r="L54" s="313">
        <f t="shared" si="16"/>
        <v>4.7033269491675717E-3</v>
      </c>
      <c r="M54" s="313">
        <f t="shared" si="17"/>
        <v>-4.0563484884359355E-4</v>
      </c>
      <c r="N54" s="413"/>
      <c r="O54" s="355">
        <f t="shared" si="18"/>
        <v>4.7033269491675717E-3</v>
      </c>
      <c r="P54" s="355">
        <f t="shared" si="19"/>
        <v>-4.0563484884359355E-4</v>
      </c>
      <c r="Q54" s="313">
        <f t="shared" si="13"/>
        <v>-5.6421563217244446E-4</v>
      </c>
      <c r="R54" s="313">
        <f t="shared" si="11"/>
        <v>1.0648735231610841E-2</v>
      </c>
      <c r="S54" s="313">
        <f t="shared" si="12"/>
        <v>-5.3811926502708241E-3</v>
      </c>
      <c r="T54" s="352"/>
    </row>
    <row r="55" spans="1:20">
      <c r="A55" s="265"/>
      <c r="B55" s="416">
        <v>2010</v>
      </c>
      <c r="C55" s="299">
        <v>94934255.213694632</v>
      </c>
      <c r="D55" s="299">
        <v>4558</v>
      </c>
      <c r="E55" s="299">
        <v>59.962000000000003</v>
      </c>
      <c r="F55" s="318">
        <f t="shared" si="14"/>
        <v>273306.79600000003</v>
      </c>
      <c r="G55" s="299">
        <v>735344.13448900823</v>
      </c>
      <c r="H55" s="314">
        <f t="shared" si="15"/>
        <v>-1008650.9304890083</v>
      </c>
      <c r="I55" s="299">
        <v>-878499.9566979995</v>
      </c>
      <c r="J55" s="299">
        <v>1173783.3144870065</v>
      </c>
      <c r="K55" s="299">
        <f t="shared" si="10"/>
        <v>440060.77670000121</v>
      </c>
      <c r="L55" s="313">
        <f t="shared" si="16"/>
        <v>-7.7458250747716615E-3</v>
      </c>
      <c r="M55" s="313">
        <f t="shared" si="17"/>
        <v>-1.062473106486758E-2</v>
      </c>
      <c r="N55" s="413"/>
      <c r="O55" s="355">
        <f t="shared" si="18"/>
        <v>-7.7458250747716615E-3</v>
      </c>
      <c r="P55" s="355">
        <f t="shared" si="19"/>
        <v>-1.062473106486758E-2</v>
      </c>
      <c r="Q55" s="313">
        <f t="shared" si="13"/>
        <v>-1.2364170465601164E-2</v>
      </c>
      <c r="R55" s="313">
        <f t="shared" si="11"/>
        <v>9.2537720417200098E-3</v>
      </c>
      <c r="S55" s="313">
        <f t="shared" si="12"/>
        <v>-4.6354266508905079E-3</v>
      </c>
      <c r="T55" s="352"/>
    </row>
    <row r="56" spans="1:20">
      <c r="A56" s="265"/>
      <c r="B56" s="416">
        <v>2011</v>
      </c>
      <c r="C56" s="299">
        <v>105203213.929758</v>
      </c>
      <c r="D56" s="299">
        <v>4478</v>
      </c>
      <c r="E56" s="299">
        <v>60.594000000000001</v>
      </c>
      <c r="F56" s="318">
        <f t="shared" si="14"/>
        <v>271339.93200000003</v>
      </c>
      <c r="G56" s="299">
        <v>1360537.8390429956</v>
      </c>
      <c r="H56" s="314">
        <f t="shared" si="15"/>
        <v>-1631877.7710429956</v>
      </c>
      <c r="I56" s="299">
        <v>68016.107111000456</v>
      </c>
      <c r="J56" s="299">
        <v>786819.64291699999</v>
      </c>
      <c r="K56" s="299">
        <f t="shared" si="10"/>
        <v>505702.08901499514</v>
      </c>
      <c r="L56" s="313">
        <f t="shared" si="16"/>
        <v>-1.2932474096764748E-2</v>
      </c>
      <c r="M56" s="313">
        <f t="shared" si="17"/>
        <v>-1.551167222070389E-2</v>
      </c>
      <c r="N56" s="413"/>
      <c r="O56" s="355">
        <f t="shared" si="18"/>
        <v>-1.2932474096764748E-2</v>
      </c>
      <c r="P56" s="355">
        <f t="shared" si="19"/>
        <v>-1.551167222070389E-2</v>
      </c>
      <c r="Q56" s="313">
        <f t="shared" si="13"/>
        <v>-7.4790456824098848E-3</v>
      </c>
      <c r="R56" s="313">
        <f t="shared" si="11"/>
        <v>-6.4652119046869989E-4</v>
      </c>
      <c r="S56" s="313">
        <f t="shared" si="12"/>
        <v>-4.8069072238861631E-3</v>
      </c>
      <c r="T56" s="352"/>
    </row>
    <row r="57" spans="1:20">
      <c r="A57" s="265"/>
      <c r="B57" s="416">
        <v>2012</v>
      </c>
      <c r="C57" s="299">
        <v>108832260.32910401</v>
      </c>
      <c r="D57" s="299">
        <v>4224</v>
      </c>
      <c r="E57" s="299">
        <v>53.454000000000001</v>
      </c>
      <c r="F57" s="318">
        <f t="shared" si="14"/>
        <v>225789.696</v>
      </c>
      <c r="G57" s="299">
        <v>-1739656.8201899943</v>
      </c>
      <c r="H57" s="314">
        <f t="shared" si="15"/>
        <v>1513867.1241899943</v>
      </c>
      <c r="I57" s="299">
        <v>-358336.15993500315</v>
      </c>
      <c r="J57" s="299">
        <v>-1966226.5704989955</v>
      </c>
      <c r="K57" s="299">
        <f t="shared" si="10"/>
        <v>584905.91024400434</v>
      </c>
      <c r="L57" s="313">
        <f t="shared" si="16"/>
        <v>1.5984753187422075E-2</v>
      </c>
      <c r="M57" s="313">
        <f t="shared" si="17"/>
        <v>1.3910095403808817E-2</v>
      </c>
      <c r="N57" s="413"/>
      <c r="O57" s="355">
        <f t="shared" si="18"/>
        <v>1.5984753187422075E-2</v>
      </c>
      <c r="P57" s="355">
        <f t="shared" si="19"/>
        <v>1.3910095403808817E-2</v>
      </c>
      <c r="Q57" s="313">
        <f t="shared" si="13"/>
        <v>1.806657846261037E-2</v>
      </c>
      <c r="R57" s="313">
        <f t="shared" si="11"/>
        <v>3.2925546051456641E-3</v>
      </c>
      <c r="S57" s="313">
        <f t="shared" si="12"/>
        <v>-5.3743798803339597E-3</v>
      </c>
      <c r="T57" s="352"/>
    </row>
    <row r="58" spans="1:20">
      <c r="A58" s="265"/>
      <c r="B58" s="416">
        <v>2013</v>
      </c>
      <c r="C58" s="299">
        <v>125152244.90377593</v>
      </c>
      <c r="D58" s="299">
        <v>4585</v>
      </c>
      <c r="E58" s="299">
        <v>64.524000000000001</v>
      </c>
      <c r="F58" s="318">
        <f t="shared" si="14"/>
        <v>295842.53999999998</v>
      </c>
      <c r="G58" s="299">
        <v>-2396393.6821040073</v>
      </c>
      <c r="H58" s="314">
        <f t="shared" si="15"/>
        <v>2100551.1421040073</v>
      </c>
      <c r="I58" s="299">
        <v>22633.015028999187</v>
      </c>
      <c r="J58" s="299">
        <v>-2460486.2758840062</v>
      </c>
      <c r="K58" s="299">
        <f t="shared" si="10"/>
        <v>41459.578750999644</v>
      </c>
      <c r="L58" s="313">
        <f t="shared" si="16"/>
        <v>1.9147828182758442E-2</v>
      </c>
      <c r="M58" s="313">
        <f t="shared" si="17"/>
        <v>1.6783966949366579E-2</v>
      </c>
      <c r="N58" s="413"/>
      <c r="O58" s="355">
        <f t="shared" si="18"/>
        <v>1.9147828182758442E-2</v>
      </c>
      <c r="P58" s="355">
        <f t="shared" si="19"/>
        <v>1.6783966949366579E-2</v>
      </c>
      <c r="Q58" s="313">
        <f t="shared" si="13"/>
        <v>1.9659945195355993E-2</v>
      </c>
      <c r="R58" s="313">
        <f t="shared" si="11"/>
        <v>-1.8084385978374355E-4</v>
      </c>
      <c r="S58" s="313">
        <f t="shared" si="12"/>
        <v>-3.3127315281380765E-4</v>
      </c>
      <c r="T58" s="352"/>
    </row>
    <row r="59" spans="1:20">
      <c r="A59" s="265"/>
      <c r="B59" s="416">
        <v>2014</v>
      </c>
      <c r="C59" s="299">
        <v>137797686.414745</v>
      </c>
      <c r="D59" s="299">
        <v>4629</v>
      </c>
      <c r="E59" s="373">
        <v>39.338999999999999</v>
      </c>
      <c r="F59" s="318">
        <f t="shared" si="14"/>
        <v>182100.231</v>
      </c>
      <c r="G59" s="299">
        <v>-2034214.3681629961</v>
      </c>
      <c r="H59" s="314">
        <f t="shared" si="15"/>
        <v>1852114.1371629962</v>
      </c>
      <c r="I59" s="299">
        <v>20298.378188000992</v>
      </c>
      <c r="J59" s="299">
        <v>-3133804.3317020014</v>
      </c>
      <c r="K59" s="299">
        <f t="shared" si="10"/>
        <v>1079291.5853510043</v>
      </c>
      <c r="L59" s="313">
        <f t="shared" si="16"/>
        <v>1.4762325994649831E-2</v>
      </c>
      <c r="M59" s="313">
        <f t="shared" si="17"/>
        <v>1.3440821724600533E-2</v>
      </c>
      <c r="N59" s="413"/>
      <c r="O59" s="355">
        <f t="shared" si="18"/>
        <v>1.4762325994649831E-2</v>
      </c>
      <c r="P59" s="355">
        <f t="shared" si="19"/>
        <v>1.3440821724600533E-2</v>
      </c>
      <c r="Q59" s="313">
        <f t="shared" si="13"/>
        <v>2.27420678331989E-2</v>
      </c>
      <c r="R59" s="313">
        <f t="shared" si="11"/>
        <v>-1.4730565306377285E-4</v>
      </c>
      <c r="S59" s="313">
        <f t="shared" si="12"/>
        <v>-7.8324361854852954E-3</v>
      </c>
      <c r="T59" s="352"/>
    </row>
    <row r="60" spans="1:20">
      <c r="A60" s="265"/>
      <c r="B60" s="416">
        <v>2015</v>
      </c>
      <c r="C60" s="299">
        <v>142003380.42045999</v>
      </c>
      <c r="D60" s="299">
        <v>5806.91</v>
      </c>
      <c r="E60" s="373">
        <v>24.036999999999999</v>
      </c>
      <c r="F60" s="318">
        <f t="shared" si="14"/>
        <v>139580.69566999999</v>
      </c>
      <c r="G60" s="311">
        <v>-980900</v>
      </c>
      <c r="H60" s="314">
        <f t="shared" si="15"/>
        <v>841319.30432999996</v>
      </c>
      <c r="I60" s="311">
        <v>157700</v>
      </c>
      <c r="J60" s="311">
        <v>-2522927.1604929999</v>
      </c>
      <c r="K60" s="299"/>
      <c r="L60" s="313">
        <f t="shared" si="16"/>
        <v>6.9075820385094931E-3</v>
      </c>
      <c r="M60" s="313">
        <f t="shared" si="17"/>
        <v>5.9246427925794777E-3</v>
      </c>
      <c r="N60" s="413"/>
      <c r="O60" s="355">
        <f t="shared" si="18"/>
        <v>6.9075820385094931E-3</v>
      </c>
      <c r="P60" s="355">
        <f t="shared" si="19"/>
        <v>5.9246427925794777E-3</v>
      </c>
      <c r="Q60" s="313">
        <f t="shared" si="13"/>
        <v>1.7766669730134778E-2</v>
      </c>
      <c r="R60" s="313">
        <f t="shared" si="11"/>
        <v>-1.1105369430858875E-3</v>
      </c>
      <c r="S60" s="313"/>
      <c r="T60" s="352"/>
    </row>
    <row r="61" spans="1:20">
      <c r="A61" s="265"/>
      <c r="B61" s="416">
        <v>2016</v>
      </c>
      <c r="C61" s="299">
        <v>155509318.36535001</v>
      </c>
      <c r="D61" s="299">
        <v>5766.93</v>
      </c>
      <c r="E61" s="373">
        <v>26.126999999999999</v>
      </c>
      <c r="F61" s="318">
        <f t="shared" si="14"/>
        <v>150672.58011000001</v>
      </c>
      <c r="G61" s="299"/>
      <c r="H61" s="314"/>
      <c r="I61" s="299"/>
      <c r="J61" s="311">
        <v>-2214947.8458560002</v>
      </c>
      <c r="K61" s="299"/>
      <c r="L61" s="313"/>
      <c r="M61" s="313"/>
      <c r="N61" s="413"/>
      <c r="O61" s="413"/>
      <c r="P61" s="413"/>
      <c r="Q61" s="313"/>
      <c r="R61" s="313"/>
      <c r="S61" s="313"/>
    </row>
    <row r="65" spans="14:28">
      <c r="N65" s="43" t="s">
        <v>511</v>
      </c>
    </row>
    <row r="71" spans="14:28">
      <c r="AB71" s="43">
        <f ca="1">AA3:AB71</f>
        <v>0</v>
      </c>
    </row>
    <row r="104" spans="37:44">
      <c r="AK104" s="347" t="s">
        <v>507</v>
      </c>
    </row>
    <row r="105" spans="37:44">
      <c r="AK105" s="347" t="s">
        <v>508</v>
      </c>
    </row>
    <row r="106" spans="37:44">
      <c r="AK106" s="347" t="s">
        <v>509</v>
      </c>
    </row>
    <row r="107" spans="37:44">
      <c r="AK107" s="347" t="s">
        <v>510</v>
      </c>
    </row>
    <row r="108" spans="37:44">
      <c r="AO108" s="347"/>
      <c r="AP108" s="347"/>
      <c r="AQ108" s="347"/>
      <c r="AR108" s="347"/>
    </row>
    <row r="127" spans="28:31">
      <c r="AB127" s="347"/>
      <c r="AC127" s="347"/>
      <c r="AD127" s="347"/>
      <c r="AE127" s="347"/>
    </row>
  </sheetData>
  <pageMargins left="0.7" right="0.7" top="0.75" bottom="0.75" header="0.3" footer="0.3"/>
  <pageSetup paperSize="9" scale="63" orientation="portrait" r:id="rId1"/>
  <colBreaks count="2" manualBreakCount="2">
    <brk id="11" max="1048575" man="1"/>
    <brk id="26"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workbookViewId="0"/>
  </sheetViews>
  <sheetFormatPr defaultColWidth="9.109375" defaultRowHeight="14.4"/>
  <cols>
    <col min="1" max="16384" width="9.109375" style="236"/>
  </cols>
  <sheetData>
    <row r="1" spans="1:3">
      <c r="A1" s="236" t="s">
        <v>607</v>
      </c>
      <c r="B1" s="236" t="s">
        <v>646</v>
      </c>
    </row>
    <row r="4" spans="1:3">
      <c r="A4" s="236" t="s">
        <v>297</v>
      </c>
      <c r="B4" s="432">
        <f>+Deficit!O7*100</f>
        <v>0.3613138928024075</v>
      </c>
      <c r="C4" s="432"/>
    </row>
    <row r="5" spans="1:3">
      <c r="A5" s="236" t="s">
        <v>298</v>
      </c>
      <c r="B5" s="432">
        <f>+Deficit!O8*100</f>
        <v>0.987351889755823</v>
      </c>
      <c r="C5" s="432"/>
    </row>
    <row r="6" spans="1:3">
      <c r="A6" s="236" t="s">
        <v>299</v>
      </c>
      <c r="B6" s="432">
        <f>+Deficit!O9*100</f>
        <v>0.78337640084323523</v>
      </c>
      <c r="C6" s="432"/>
    </row>
    <row r="7" spans="1:3">
      <c r="A7" s="236" t="s">
        <v>300</v>
      </c>
      <c r="B7" s="432">
        <f>+Deficit!O10*100</f>
        <v>3.6496103459517537E-2</v>
      </c>
      <c r="C7" s="432"/>
    </row>
    <row r="8" spans="1:3">
      <c r="A8" s="236" t="s">
        <v>301</v>
      </c>
      <c r="B8" s="432">
        <f>+Deficit!O11*100</f>
        <v>1.5985920745995439</v>
      </c>
      <c r="C8" s="432"/>
    </row>
    <row r="9" spans="1:3">
      <c r="A9" s="236" t="s">
        <v>302</v>
      </c>
      <c r="B9" s="432">
        <f>+Deficit!O12*100</f>
        <v>4.6463442237513659</v>
      </c>
      <c r="C9" s="432"/>
    </row>
    <row r="10" spans="1:3">
      <c r="A10" s="236" t="s">
        <v>303</v>
      </c>
      <c r="B10" s="432">
        <f>+Deficit!O13*100</f>
        <v>3.4483804746657536</v>
      </c>
      <c r="C10" s="432"/>
    </row>
    <row r="11" spans="1:3">
      <c r="A11" s="236" t="s">
        <v>304</v>
      </c>
      <c r="B11" s="432">
        <f>+Deficit!O14*100</f>
        <v>1.4884562474178105</v>
      </c>
      <c r="C11" s="432"/>
    </row>
    <row r="12" spans="1:3">
      <c r="A12" s="236" t="s">
        <v>305</v>
      </c>
      <c r="B12" s="432">
        <f>+Deficit!O15*100</f>
        <v>0.92488782231589672</v>
      </c>
      <c r="C12" s="432"/>
    </row>
    <row r="13" spans="1:3">
      <c r="A13" s="236" t="s">
        <v>306</v>
      </c>
      <c r="B13" s="432">
        <f>+Deficit!O16*100</f>
        <v>2.0753203970370699</v>
      </c>
      <c r="C13" s="432"/>
    </row>
    <row r="14" spans="1:3">
      <c r="A14" s="236" t="s">
        <v>307</v>
      </c>
      <c r="B14" s="432">
        <f>+Deficit!O17*100</f>
        <v>3.2757121501925579</v>
      </c>
      <c r="C14" s="432"/>
    </row>
    <row r="15" spans="1:3">
      <c r="A15" s="236" t="s">
        <v>308</v>
      </c>
      <c r="B15" s="432">
        <f>+Deficit!O18*100</f>
        <v>1.436118607515152</v>
      </c>
      <c r="C15" s="432"/>
    </row>
    <row r="16" spans="1:3">
      <c r="A16" s="236" t="s">
        <v>309</v>
      </c>
      <c r="B16" s="432">
        <f>+Deficit!O19*100</f>
        <v>0.31484864690664921</v>
      </c>
      <c r="C16" s="432"/>
    </row>
    <row r="17" spans="1:3">
      <c r="A17" s="236" t="s">
        <v>310</v>
      </c>
      <c r="B17" s="432">
        <f>+Deficit!O20*100</f>
        <v>4.5265865912841665</v>
      </c>
      <c r="C17" s="432"/>
    </row>
    <row r="18" spans="1:3">
      <c r="A18" s="236" t="s">
        <v>612</v>
      </c>
      <c r="B18" s="432">
        <f>+Deficit!O21*100</f>
        <v>0.34036705185693517</v>
      </c>
      <c r="C18" s="432"/>
    </row>
    <row r="19" spans="1:3">
      <c r="A19" s="236" t="s">
        <v>613</v>
      </c>
      <c r="B19" s="432">
        <f>+Deficit!O22*100</f>
        <v>0.27141826157432664</v>
      </c>
      <c r="C19" s="432"/>
    </row>
    <row r="20" spans="1:3">
      <c r="A20" s="236" t="s">
        <v>614</v>
      </c>
      <c r="B20" s="432">
        <f>+Deficit!O23*100</f>
        <v>-0.31522096117258358</v>
      </c>
      <c r="C20" s="432"/>
    </row>
    <row r="21" spans="1:3">
      <c r="A21" s="236" t="s">
        <v>615</v>
      </c>
      <c r="B21" s="432">
        <f>+Deficit!O24*100</f>
        <v>-1.6188823856589221</v>
      </c>
      <c r="C21" s="432"/>
    </row>
    <row r="22" spans="1:3">
      <c r="A22" s="236" t="s">
        <v>616</v>
      </c>
      <c r="B22" s="432">
        <f>+Deficit!O25*100</f>
        <v>-0.39105873964193472</v>
      </c>
      <c r="C22" s="432"/>
    </row>
    <row r="23" spans="1:3">
      <c r="A23" s="236" t="s">
        <v>617</v>
      </c>
      <c r="B23" s="432">
        <f>+Deficit!O26*100</f>
        <v>2.998725734357043</v>
      </c>
      <c r="C23" s="432"/>
    </row>
    <row r="24" spans="1:3">
      <c r="A24" s="236" t="s">
        <v>618</v>
      </c>
      <c r="B24" s="432">
        <f>+Deficit!O27*100</f>
        <v>1.1159826291363382</v>
      </c>
      <c r="C24" s="432"/>
    </row>
    <row r="25" spans="1:3">
      <c r="A25" s="236" t="s">
        <v>619</v>
      </c>
      <c r="B25" s="432">
        <f>+Deficit!O28*100</f>
        <v>5.2643284437978277</v>
      </c>
      <c r="C25" s="432"/>
    </row>
    <row r="26" spans="1:3">
      <c r="A26" s="236" t="s">
        <v>620</v>
      </c>
      <c r="B26" s="432">
        <f>+Deficit!O29*100</f>
        <v>7.9750207562674769</v>
      </c>
      <c r="C26" s="432"/>
    </row>
    <row r="27" spans="1:3">
      <c r="A27" s="236" t="s">
        <v>621</v>
      </c>
      <c r="B27" s="432">
        <f>+Deficit!O30*100</f>
        <v>4.7965811282529272</v>
      </c>
      <c r="C27" s="432"/>
    </row>
    <row r="28" spans="1:3">
      <c r="A28" s="236" t="s">
        <v>622</v>
      </c>
      <c r="B28" s="432">
        <f>+Deficit!O31*100</f>
        <v>3.1219422971784123</v>
      </c>
      <c r="C28" s="432"/>
    </row>
    <row r="29" spans="1:3">
      <c r="A29" s="236" t="s">
        <v>623</v>
      </c>
      <c r="B29" s="432">
        <f>+Deficit!O32*100</f>
        <v>1.1496706780571468</v>
      </c>
      <c r="C29" s="432"/>
    </row>
    <row r="30" spans="1:3">
      <c r="A30" s="236" t="s">
        <v>624</v>
      </c>
      <c r="B30" s="432">
        <f>+Deficit!O33*100</f>
        <v>2.2936929130865535</v>
      </c>
      <c r="C30" s="432"/>
    </row>
    <row r="31" spans="1:3">
      <c r="A31" s="236" t="s">
        <v>625</v>
      </c>
      <c r="B31" s="432">
        <f>+Deficit!O34*100</f>
        <v>0.40352811541670019</v>
      </c>
      <c r="C31" s="432"/>
    </row>
    <row r="32" spans="1:3">
      <c r="A32" s="236" t="s">
        <v>626</v>
      </c>
      <c r="B32" s="432">
        <f>+Deficit!O35*100</f>
        <v>-5.1510153905962346</v>
      </c>
      <c r="C32" s="432"/>
    </row>
    <row r="33" spans="1:3">
      <c r="A33" s="236" t="s">
        <v>627</v>
      </c>
      <c r="B33" s="432">
        <f>+Deficit!O36*100</f>
        <v>-1.8305075787229503</v>
      </c>
      <c r="C33" s="432"/>
    </row>
    <row r="34" spans="1:3">
      <c r="A34" s="236" t="s">
        <v>628</v>
      </c>
      <c r="B34" s="432">
        <f>+Deficit!O37*100</f>
        <v>-0.19322455434463989</v>
      </c>
      <c r="C34" s="432"/>
    </row>
    <row r="35" spans="1:3">
      <c r="A35" s="236" t="s">
        <v>629</v>
      </c>
      <c r="B35" s="432">
        <f>+Deficit!O38*100</f>
        <v>-1.5769576859947898</v>
      </c>
      <c r="C35" s="432"/>
    </row>
    <row r="36" spans="1:3">
      <c r="A36" s="236" t="s">
        <v>630</v>
      </c>
      <c r="B36" s="432">
        <f>+Deficit!O39*100</f>
        <v>-2.8638307173549671</v>
      </c>
      <c r="C36" s="432"/>
    </row>
    <row r="37" spans="1:3">
      <c r="A37" s="236" t="s">
        <v>631</v>
      </c>
      <c r="B37" s="432">
        <f>+Deficit!O40*100</f>
        <v>-1.0881186050815981</v>
      </c>
      <c r="C37" s="432"/>
    </row>
    <row r="38" spans="1:3">
      <c r="A38" s="236" t="s">
        <v>311</v>
      </c>
      <c r="B38" s="432">
        <f>+Deficit!O41*100</f>
        <v>-0.95165306882831502</v>
      </c>
      <c r="C38" s="432"/>
    </row>
    <row r="39" spans="1:3">
      <c r="A39" s="236" t="s">
        <v>312</v>
      </c>
      <c r="B39" s="432">
        <f>+Deficit!O42*100</f>
        <v>0.82047687506990341</v>
      </c>
      <c r="C39" s="432"/>
    </row>
    <row r="40" spans="1:3">
      <c r="A40" s="236" t="s">
        <v>313</v>
      </c>
      <c r="B40" s="432">
        <f>+Deficit!O43*100</f>
        <v>-1.623705056788332</v>
      </c>
      <c r="C40" s="432"/>
    </row>
    <row r="41" spans="1:3">
      <c r="A41" s="236" t="s">
        <v>314</v>
      </c>
      <c r="B41" s="432">
        <f>+Deficit!O44*100</f>
        <v>2.9767768409876854</v>
      </c>
      <c r="C41" s="432"/>
    </row>
    <row r="42" spans="1:3">
      <c r="A42" s="236" t="s">
        <v>315</v>
      </c>
      <c r="B42" s="432">
        <f>+Deficit!O45*100</f>
        <v>2.9896557785467635</v>
      </c>
      <c r="C42" s="432"/>
    </row>
    <row r="43" spans="1:3">
      <c r="A43" s="236" t="s">
        <v>316</v>
      </c>
      <c r="B43" s="432">
        <f>+Deficit!O46*100</f>
        <v>-0.91643245338288692</v>
      </c>
      <c r="C43" s="432"/>
    </row>
    <row r="44" spans="1:3">
      <c r="A44" s="236" t="s">
        <v>317</v>
      </c>
      <c r="B44" s="432">
        <f>+Deficit!O47*100</f>
        <v>2.2325506519128764</v>
      </c>
      <c r="C44" s="432"/>
    </row>
    <row r="45" spans="1:3">
      <c r="A45" s="236" t="s">
        <v>318</v>
      </c>
      <c r="B45" s="432">
        <f>+Deficit!O48*100</f>
        <v>-0.92490258624493649</v>
      </c>
      <c r="C45" s="432"/>
    </row>
    <row r="46" spans="1:3">
      <c r="A46" s="236" t="s">
        <v>632</v>
      </c>
      <c r="B46" s="432">
        <f>+Deficit!O49*100</f>
        <v>-2.0033953434266101</v>
      </c>
      <c r="C46" s="432"/>
    </row>
    <row r="47" spans="1:3">
      <c r="A47" s="236" t="s">
        <v>633</v>
      </c>
      <c r="B47" s="432">
        <f>+Deficit!O50*100</f>
        <v>-1.30370362521035</v>
      </c>
      <c r="C47" s="432"/>
    </row>
    <row r="48" spans="1:3">
      <c r="A48" s="236" t="s">
        <v>634</v>
      </c>
      <c r="B48" s="432">
        <f>+Deficit!O51*100</f>
        <v>-1.990587619658015</v>
      </c>
      <c r="C48" s="432"/>
    </row>
    <row r="49" spans="1:3">
      <c r="A49" s="236" t="s">
        <v>635</v>
      </c>
      <c r="B49" s="432">
        <f>+Deficit!O52*100</f>
        <v>-1.710205234162379</v>
      </c>
      <c r="C49" s="432"/>
    </row>
    <row r="50" spans="1:3">
      <c r="A50" s="236" t="s">
        <v>636</v>
      </c>
      <c r="B50" s="432">
        <f>+Deficit!O53*100</f>
        <v>-2.9073278303367718</v>
      </c>
      <c r="C50" s="432"/>
    </row>
    <row r="51" spans="1:3">
      <c r="A51" s="236" t="s">
        <v>637</v>
      </c>
      <c r="B51" s="432">
        <f>+Deficit!O54*100</f>
        <v>0.47033269491675717</v>
      </c>
      <c r="C51" s="432"/>
    </row>
    <row r="52" spans="1:3">
      <c r="A52" s="236" t="s">
        <v>638</v>
      </c>
      <c r="B52" s="432">
        <f>+Deficit!O55*100</f>
        <v>-0.77458250747716617</v>
      </c>
      <c r="C52" s="432"/>
    </row>
    <row r="53" spans="1:3">
      <c r="A53" s="236" t="s">
        <v>639</v>
      </c>
      <c r="B53" s="432">
        <f>+Deficit!O56*100</f>
        <v>-1.2932474096764748</v>
      </c>
      <c r="C53" s="432"/>
    </row>
    <row r="54" spans="1:3">
      <c r="A54" s="236" t="s">
        <v>640</v>
      </c>
      <c r="B54" s="432">
        <f>+Deficit!O57*100</f>
        <v>1.5984753187422076</v>
      </c>
      <c r="C54" s="432"/>
    </row>
    <row r="55" spans="1:3">
      <c r="A55" s="236" t="s">
        <v>641</v>
      </c>
      <c r="B55" s="432">
        <f>+Deficit!O58*100</f>
        <v>1.9147828182758442</v>
      </c>
      <c r="C55" s="432"/>
    </row>
    <row r="56" spans="1:3">
      <c r="A56" s="236" t="s">
        <v>642</v>
      </c>
      <c r="B56" s="432">
        <f>+Deficit!O59*100</f>
        <v>1.4762325994649832</v>
      </c>
      <c r="C56" s="432"/>
    </row>
    <row r="57" spans="1:3">
      <c r="A57" s="236" t="s">
        <v>643</v>
      </c>
      <c r="B57" s="432">
        <f>+Deficit!O60*100</f>
        <v>0.69075820385094933</v>
      </c>
      <c r="C57" s="432"/>
    </row>
    <row r="58" spans="1:3">
      <c r="B58" s="432"/>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workbookViewId="0"/>
  </sheetViews>
  <sheetFormatPr defaultColWidth="9.109375" defaultRowHeight="14.4"/>
  <cols>
    <col min="1" max="16384" width="9.109375" style="236"/>
  </cols>
  <sheetData>
    <row r="1" spans="1:3">
      <c r="A1" s="236" t="s">
        <v>607</v>
      </c>
      <c r="B1" s="236" t="s">
        <v>1331</v>
      </c>
    </row>
    <row r="3" spans="1:3">
      <c r="B3" s="236" t="s">
        <v>1332</v>
      </c>
      <c r="C3" s="236" t="s">
        <v>1333</v>
      </c>
    </row>
    <row r="4" spans="1:3">
      <c r="A4" s="236" t="s">
        <v>297</v>
      </c>
      <c r="B4" s="432">
        <f>+Deficit!O7*100</f>
        <v>0.3613138928024075</v>
      </c>
      <c r="C4" s="432">
        <f>+Deficit!R7*100</f>
        <v>5.1406448162944041E-2</v>
      </c>
    </row>
    <row r="5" spans="1:3">
      <c r="A5" s="236" t="s">
        <v>298</v>
      </c>
      <c r="B5" s="432">
        <f>+Deficit!O8*100</f>
        <v>0.987351889755823</v>
      </c>
      <c r="C5" s="432">
        <f>+Deficit!R8*100</f>
        <v>6.9061684991081175E-3</v>
      </c>
    </row>
    <row r="6" spans="1:3">
      <c r="A6" s="236" t="s">
        <v>299</v>
      </c>
      <c r="B6" s="432">
        <f>+Deficit!O9*100</f>
        <v>0.78337640084323523</v>
      </c>
      <c r="C6" s="432">
        <f>+Deficit!R9*100</f>
        <v>-0.30678281555361159</v>
      </c>
    </row>
    <row r="7" spans="1:3">
      <c r="A7" s="236" t="s">
        <v>300</v>
      </c>
      <c r="B7" s="432">
        <f>+Deficit!O10*100</f>
        <v>3.6496103459517537E-2</v>
      </c>
      <c r="C7" s="432">
        <f>+Deficit!R10*100</f>
        <v>-4.5620129324397823E-2</v>
      </c>
    </row>
    <row r="8" spans="1:3">
      <c r="A8" s="236" t="s">
        <v>301</v>
      </c>
      <c r="B8" s="432">
        <f>+Deficit!O11*100</f>
        <v>1.5985920745995439</v>
      </c>
      <c r="C8" s="432">
        <f>+Deficit!R11*100</f>
        <v>1.8951992219469522</v>
      </c>
    </row>
    <row r="9" spans="1:3">
      <c r="A9" s="236" t="s">
        <v>302</v>
      </c>
      <c r="B9" s="432">
        <f>+Deficit!O12*100</f>
        <v>4.6463442237513659</v>
      </c>
      <c r="C9" s="432">
        <f>+Deficit!R12*100</f>
        <v>3.8335767390488495</v>
      </c>
    </row>
    <row r="10" spans="1:3">
      <c r="A10" s="236" t="s">
        <v>303</v>
      </c>
      <c r="B10" s="432">
        <f>+Deficit!O13*100</f>
        <v>3.4483804746657536</v>
      </c>
      <c r="C10" s="432">
        <f>+Deficit!R13*100</f>
        <v>2.3709071583512</v>
      </c>
    </row>
    <row r="11" spans="1:3">
      <c r="A11" s="236" t="s">
        <v>304</v>
      </c>
      <c r="B11" s="432">
        <f>+Deficit!O14*100</f>
        <v>1.4884562474178105</v>
      </c>
      <c r="C11" s="432">
        <f>+Deficit!R14*100</f>
        <v>0.98585460064517705</v>
      </c>
    </row>
    <row r="12" spans="1:3">
      <c r="A12" s="236" t="s">
        <v>305</v>
      </c>
      <c r="B12" s="432">
        <f>+Deficit!O15*100</f>
        <v>0.92488782231589672</v>
      </c>
      <c r="C12" s="432">
        <f>+Deficit!R15*100</f>
        <v>0.19669232812347454</v>
      </c>
    </row>
    <row r="13" spans="1:3">
      <c r="A13" s="236" t="s">
        <v>306</v>
      </c>
      <c r="B13" s="432">
        <f>+Deficit!O16*100</f>
        <v>2.0753203970370699</v>
      </c>
      <c r="C13" s="432">
        <f>+Deficit!R16*100</f>
        <v>1.0620282077013761</v>
      </c>
    </row>
    <row r="14" spans="1:3">
      <c r="A14" s="236" t="s">
        <v>307</v>
      </c>
      <c r="B14" s="432">
        <f>+Deficit!O17*100</f>
        <v>3.2757121501925579</v>
      </c>
      <c r="C14" s="432">
        <f>+Deficit!R17*100</f>
        <v>1.6048485516926707</v>
      </c>
    </row>
    <row r="15" spans="1:3">
      <c r="A15" s="236" t="s">
        <v>308</v>
      </c>
      <c r="B15" s="432">
        <f>+Deficit!O18*100</f>
        <v>1.436118607515152</v>
      </c>
      <c r="C15" s="432">
        <f>+Deficit!R18*100</f>
        <v>1.4376356656353142</v>
      </c>
    </row>
    <row r="16" spans="1:3">
      <c r="A16" s="236" t="s">
        <v>309</v>
      </c>
      <c r="B16" s="432">
        <f>+Deficit!O19*100</f>
        <v>0.31484864690664921</v>
      </c>
      <c r="C16" s="432">
        <f>+Deficit!R19*100</f>
        <v>1.3013391226421085</v>
      </c>
    </row>
    <row r="17" spans="1:3">
      <c r="A17" s="236" t="s">
        <v>310</v>
      </c>
      <c r="B17" s="432">
        <f>+Deficit!O20*100</f>
        <v>4.5265865912841665</v>
      </c>
      <c r="C17" s="432">
        <f>+Deficit!R20*100</f>
        <v>4.8173025863563304</v>
      </c>
    </row>
    <row r="18" spans="1:3">
      <c r="A18" s="236" t="s">
        <v>612</v>
      </c>
      <c r="B18" s="432">
        <f>+Deficit!O21*100</f>
        <v>0.34036705185693517</v>
      </c>
      <c r="C18" s="432">
        <f>+Deficit!R21*100</f>
        <v>0.75897525864284987</v>
      </c>
    </row>
    <row r="19" spans="1:3">
      <c r="A19" s="236" t="s">
        <v>613</v>
      </c>
      <c r="B19" s="432">
        <f>+Deficit!O22*100</f>
        <v>0.27141826157432664</v>
      </c>
      <c r="C19" s="432">
        <f>+Deficit!R22*100</f>
        <v>1.7376993930242557</v>
      </c>
    </row>
    <row r="20" spans="1:3">
      <c r="A20" s="236" t="s">
        <v>614</v>
      </c>
      <c r="B20" s="432">
        <f>+Deficit!O23*100</f>
        <v>-0.31522096117258358</v>
      </c>
      <c r="C20" s="432">
        <f>+Deficit!R23*100</f>
        <v>2.1740622542232941</v>
      </c>
    </row>
    <row r="21" spans="1:3">
      <c r="A21" s="236" t="s">
        <v>615</v>
      </c>
      <c r="B21" s="432">
        <f>+Deficit!O24*100</f>
        <v>-1.6188823856589221</v>
      </c>
      <c r="C21" s="432">
        <f>+Deficit!R24*100</f>
        <v>0</v>
      </c>
    </row>
    <row r="22" spans="1:3">
      <c r="A22" s="236" t="s">
        <v>616</v>
      </c>
      <c r="B22" s="432">
        <f>+Deficit!O25*100</f>
        <v>-0.39105873964193472</v>
      </c>
      <c r="C22" s="432">
        <f>+Deficit!R25*100</f>
        <v>0.11280247602193842</v>
      </c>
    </row>
    <row r="23" spans="1:3">
      <c r="A23" s="236" t="s">
        <v>617</v>
      </c>
      <c r="B23" s="432">
        <f>+Deficit!O26*100</f>
        <v>2.998725734357043</v>
      </c>
      <c r="C23" s="432">
        <f>+Deficit!R26*100</f>
        <v>0.2992431711064758</v>
      </c>
    </row>
    <row r="24" spans="1:3">
      <c r="A24" s="236" t="s">
        <v>618</v>
      </c>
      <c r="B24" s="432">
        <f>+Deficit!O27*100</f>
        <v>1.1159826291363382</v>
      </c>
      <c r="C24" s="432">
        <f>+Deficit!R27*100</f>
        <v>0.80415198927624942</v>
      </c>
    </row>
    <row r="25" spans="1:3">
      <c r="A25" s="236" t="s">
        <v>619</v>
      </c>
      <c r="B25" s="432">
        <f>+Deficit!O28*100</f>
        <v>5.2643284437978277</v>
      </c>
      <c r="C25" s="432">
        <f>+Deficit!R28*100</f>
        <v>2.6025770847808163</v>
      </c>
    </row>
    <row r="26" spans="1:3">
      <c r="A26" s="236" t="s">
        <v>620</v>
      </c>
      <c r="B26" s="432">
        <f>+Deficit!O29*100</f>
        <v>7.9750207562674769</v>
      </c>
      <c r="C26" s="432">
        <f>+Deficit!R29*100</f>
        <v>2.9327608169370416</v>
      </c>
    </row>
    <row r="27" spans="1:3">
      <c r="A27" s="236" t="s">
        <v>621</v>
      </c>
      <c r="B27" s="432">
        <f>+Deficit!O30*100</f>
        <v>4.7965811282529272</v>
      </c>
      <c r="C27" s="432">
        <f>+Deficit!R30*100</f>
        <v>0.74226256266123758</v>
      </c>
    </row>
    <row r="28" spans="1:3">
      <c r="A28" s="236" t="s">
        <v>622</v>
      </c>
      <c r="B28" s="432">
        <f>+Deficit!O31*100</f>
        <v>3.1219422971784123</v>
      </c>
      <c r="C28" s="432">
        <f>+Deficit!R31*100</f>
        <v>1.7390480090313729</v>
      </c>
    </row>
    <row r="29" spans="1:3">
      <c r="A29" s="236" t="s">
        <v>623</v>
      </c>
      <c r="B29" s="432">
        <f>+Deficit!O32*100</f>
        <v>1.1496706780571468</v>
      </c>
      <c r="C29" s="432">
        <f>+Deficit!R32*100</f>
        <v>1.9581084665361677</v>
      </c>
    </row>
    <row r="30" spans="1:3">
      <c r="A30" s="236" t="s">
        <v>624</v>
      </c>
      <c r="B30" s="432">
        <f>+Deficit!O33*100</f>
        <v>2.2936929130865535</v>
      </c>
      <c r="C30" s="432">
        <f>+Deficit!R33*100</f>
        <v>2.1751289973645149</v>
      </c>
    </row>
    <row r="31" spans="1:3">
      <c r="A31" s="236" t="s">
        <v>625</v>
      </c>
      <c r="B31" s="432">
        <f>+Deficit!O34*100</f>
        <v>0.40352811541670019</v>
      </c>
      <c r="C31" s="432">
        <f>+Deficit!R34*100</f>
        <v>3.8628676789300611</v>
      </c>
    </row>
    <row r="32" spans="1:3">
      <c r="A32" s="236" t="s">
        <v>626</v>
      </c>
      <c r="B32" s="432">
        <f>+Deficit!O35*100</f>
        <v>-5.1510153905962346</v>
      </c>
      <c r="C32" s="432">
        <f>+Deficit!R35*100</f>
        <v>-1.4971390003257727</v>
      </c>
    </row>
    <row r="33" spans="1:3">
      <c r="A33" s="236" t="s">
        <v>627</v>
      </c>
      <c r="B33" s="432">
        <f>+Deficit!O36*100</f>
        <v>-1.8305075787229503</v>
      </c>
      <c r="C33" s="432">
        <f>+Deficit!R36*100</f>
        <v>-1.3819183735916429</v>
      </c>
    </row>
    <row r="34" spans="1:3">
      <c r="A34" s="236" t="s">
        <v>628</v>
      </c>
      <c r="B34" s="432">
        <f>+Deficit!O37*100</f>
        <v>-0.19322455434463989</v>
      </c>
      <c r="C34" s="432">
        <f>+Deficit!R37*100</f>
        <v>-0.82481526834349128</v>
      </c>
    </row>
    <row r="35" spans="1:3">
      <c r="A35" s="236" t="s">
        <v>629</v>
      </c>
      <c r="B35" s="432">
        <f>+Deficit!O38*100</f>
        <v>-1.5769576859947898</v>
      </c>
      <c r="C35" s="432">
        <f>+Deficit!R38*100</f>
        <v>-0.75471152047318502</v>
      </c>
    </row>
    <row r="36" spans="1:3">
      <c r="A36" s="236" t="s">
        <v>630</v>
      </c>
      <c r="B36" s="432">
        <f>+Deficit!O39*100</f>
        <v>-2.8638307173549671</v>
      </c>
      <c r="C36" s="432">
        <f>+Deficit!R39*100</f>
        <v>-0.39468176964825868</v>
      </c>
    </row>
    <row r="37" spans="1:3">
      <c r="A37" s="236" t="s">
        <v>631</v>
      </c>
      <c r="B37" s="432">
        <f>+Deficit!O40*100</f>
        <v>-1.0881186050815981</v>
      </c>
      <c r="C37" s="432">
        <f>+Deficit!R40*100</f>
        <v>-1.1996248052624068</v>
      </c>
    </row>
    <row r="38" spans="1:3">
      <c r="A38" s="236" t="s">
        <v>311</v>
      </c>
      <c r="B38" s="432">
        <f>+Deficit!O41*100</f>
        <v>-0.95165306882831502</v>
      </c>
      <c r="C38" s="432">
        <f>+Deficit!R41*100</f>
        <v>-0.94216112480821568</v>
      </c>
    </row>
    <row r="39" spans="1:3">
      <c r="A39" s="236" t="s">
        <v>312</v>
      </c>
      <c r="B39" s="432">
        <f>+Deficit!O42*100</f>
        <v>0.82047687506990341</v>
      </c>
      <c r="C39" s="432">
        <f>+Deficit!R42*100</f>
        <v>0.24582927908444285</v>
      </c>
    </row>
    <row r="40" spans="1:3">
      <c r="A40" s="236" t="s">
        <v>313</v>
      </c>
      <c r="B40" s="432">
        <f>+Deficit!O43*100</f>
        <v>-1.623705056788332</v>
      </c>
      <c r="C40" s="432">
        <f>+Deficit!R43*100</f>
        <v>-0.34006366886607869</v>
      </c>
    </row>
    <row r="41" spans="1:3">
      <c r="A41" s="236" t="s">
        <v>314</v>
      </c>
      <c r="B41" s="432">
        <f>+Deficit!O44*100</f>
        <v>2.9767768409876854</v>
      </c>
      <c r="C41" s="432">
        <f>+Deficit!R44*100</f>
        <v>0.23314288534473809</v>
      </c>
    </row>
    <row r="42" spans="1:3">
      <c r="A42" s="236" t="s">
        <v>315</v>
      </c>
      <c r="B42" s="432">
        <f>+Deficit!O45*100</f>
        <v>2.9896557785467635</v>
      </c>
      <c r="C42" s="432">
        <f>+Deficit!R45*100</f>
        <v>-0.74886755608014666</v>
      </c>
    </row>
    <row r="43" spans="1:3">
      <c r="A43" s="236" t="s">
        <v>316</v>
      </c>
      <c r="B43" s="432">
        <f>+Deficit!O46*100</f>
        <v>-0.91643245338288692</v>
      </c>
      <c r="C43" s="432">
        <f>+Deficit!R46*100</f>
        <v>-1.0905209278484123</v>
      </c>
    </row>
    <row r="44" spans="1:3">
      <c r="A44" s="236" t="s">
        <v>317</v>
      </c>
      <c r="B44" s="432">
        <f>+Deficit!O47*100</f>
        <v>2.2325506519128764</v>
      </c>
      <c r="C44" s="432">
        <f>+Deficit!R47*100</f>
        <v>-0.18856337951440708</v>
      </c>
    </row>
    <row r="45" spans="1:3">
      <c r="A45" s="236" t="s">
        <v>318</v>
      </c>
      <c r="B45" s="432">
        <f>+Deficit!O48*100</f>
        <v>-0.92490258624493649</v>
      </c>
      <c r="C45" s="432">
        <f>+Deficit!R48*100</f>
        <v>-0.78652101016404508</v>
      </c>
    </row>
    <row r="46" spans="1:3">
      <c r="A46" s="236" t="s">
        <v>632</v>
      </c>
      <c r="B46" s="432">
        <f>+Deficit!O49*100</f>
        <v>-2.0033953434266101</v>
      </c>
      <c r="C46" s="432">
        <f>+Deficit!R49*100</f>
        <v>-0.29202359058097921</v>
      </c>
    </row>
    <row r="47" spans="1:3">
      <c r="A47" s="236" t="s">
        <v>633</v>
      </c>
      <c r="B47" s="432">
        <f>+Deficit!O50*100</f>
        <v>-1.30370362521035</v>
      </c>
      <c r="C47" s="432">
        <f>+Deficit!R50*100</f>
        <v>-0.36817837639373058</v>
      </c>
    </row>
    <row r="48" spans="1:3">
      <c r="A48" s="236" t="s">
        <v>634</v>
      </c>
      <c r="B48" s="432">
        <f>+Deficit!O51*100</f>
        <v>-1.990587619658015</v>
      </c>
      <c r="C48" s="432">
        <f>+Deficit!R51*100</f>
        <v>-1.0076361881561242</v>
      </c>
    </row>
    <row r="49" spans="1:3">
      <c r="A49" s="236" t="s">
        <v>635</v>
      </c>
      <c r="B49" s="432">
        <f>+Deficit!O52*100</f>
        <v>-1.710205234162379</v>
      </c>
      <c r="C49" s="432">
        <f>+Deficit!R52*100</f>
        <v>-0.2803494709473458</v>
      </c>
    </row>
    <row r="50" spans="1:3">
      <c r="A50" s="236" t="s">
        <v>636</v>
      </c>
      <c r="B50" s="432">
        <f>+Deficit!O53*100</f>
        <v>-2.9073278303367718</v>
      </c>
      <c r="C50" s="432">
        <f>+Deficit!R53*100</f>
        <v>-7.908559386239665E-2</v>
      </c>
    </row>
    <row r="51" spans="1:3">
      <c r="A51" s="236" t="s">
        <v>637</v>
      </c>
      <c r="B51" s="432">
        <f>+Deficit!O54*100</f>
        <v>0.47033269491675717</v>
      </c>
      <c r="C51" s="432">
        <f>+Deficit!R54*100</f>
        <v>1.0648735231610842</v>
      </c>
    </row>
    <row r="52" spans="1:3">
      <c r="A52" s="236" t="s">
        <v>638</v>
      </c>
      <c r="B52" s="432">
        <f>+Deficit!O55*100</f>
        <v>-0.77458250747716617</v>
      </c>
      <c r="C52" s="432">
        <f>+Deficit!R55*100</f>
        <v>0.92537720417200098</v>
      </c>
    </row>
    <row r="53" spans="1:3">
      <c r="A53" s="236" t="s">
        <v>639</v>
      </c>
      <c r="B53" s="432">
        <f>+Deficit!O56*100</f>
        <v>-1.2932474096764748</v>
      </c>
      <c r="C53" s="432">
        <f>+Deficit!R56*100</f>
        <v>-6.4652119046869988E-2</v>
      </c>
    </row>
    <row r="54" spans="1:3">
      <c r="A54" s="236" t="s">
        <v>640</v>
      </c>
      <c r="B54" s="432">
        <f>+Deficit!O57*100</f>
        <v>1.5984753187422076</v>
      </c>
      <c r="C54" s="432">
        <f>+Deficit!R57*100</f>
        <v>0.32925546051456639</v>
      </c>
    </row>
    <row r="55" spans="1:3">
      <c r="A55" s="236" t="s">
        <v>641</v>
      </c>
      <c r="B55" s="432">
        <f>+Deficit!O58*100</f>
        <v>1.9147828182758442</v>
      </c>
      <c r="C55" s="432">
        <f>+Deficit!R58*100</f>
        <v>-1.8084385978374355E-2</v>
      </c>
    </row>
    <row r="56" spans="1:3">
      <c r="A56" s="236" t="s">
        <v>642</v>
      </c>
      <c r="B56" s="432">
        <f>+Deficit!O59*100</f>
        <v>1.4762325994649832</v>
      </c>
      <c r="C56" s="432">
        <f>+Deficit!R59*100</f>
        <v>-1.4730565306377284E-2</v>
      </c>
    </row>
    <row r="57" spans="1:3">
      <c r="A57" s="236" t="s">
        <v>643</v>
      </c>
      <c r="B57" s="432">
        <f>+Deficit!O60*100</f>
        <v>0.69075820385094933</v>
      </c>
      <c r="C57" s="432">
        <f>+Deficit!R60*100</f>
        <v>-0.11105369430858875</v>
      </c>
    </row>
    <row r="58" spans="1:3">
      <c r="B58" s="432"/>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65"/>
  <sheetViews>
    <sheetView zoomScale="85" zoomScaleNormal="85" zoomScalePageLayoutView="60" workbookViewId="0"/>
  </sheetViews>
  <sheetFormatPr defaultColWidth="11.44140625" defaultRowHeight="12"/>
  <cols>
    <col min="1" max="1" width="11.44140625" style="303" customWidth="1"/>
    <col min="2" max="2" width="6.109375" style="298" bestFit="1" customWidth="1"/>
    <col min="3" max="16" width="12.33203125" style="303" customWidth="1"/>
    <col min="17" max="22" width="11.44140625" style="303"/>
    <col min="23" max="23" width="11.44140625" style="303" customWidth="1"/>
    <col min="24" max="16384" width="11.44140625" style="303"/>
  </cols>
  <sheetData>
    <row r="1" spans="2:19" ht="36.6" customHeight="1">
      <c r="R1" s="350"/>
      <c r="S1" s="349"/>
    </row>
    <row r="2" spans="2:19" ht="81" customHeight="1" thickBot="1">
      <c r="B2" s="295"/>
      <c r="C2" s="415" t="s">
        <v>592</v>
      </c>
      <c r="D2" s="415" t="s">
        <v>577</v>
      </c>
      <c r="E2" s="415" t="s">
        <v>585</v>
      </c>
      <c r="F2" s="415" t="s">
        <v>586</v>
      </c>
      <c r="G2" s="415" t="s">
        <v>596</v>
      </c>
      <c r="H2" s="415" t="s">
        <v>596</v>
      </c>
      <c r="I2" s="415" t="s">
        <v>597</v>
      </c>
      <c r="J2" s="415" t="s">
        <v>603</v>
      </c>
      <c r="K2" s="415"/>
      <c r="L2" s="415"/>
      <c r="M2" s="415" t="s">
        <v>598</v>
      </c>
      <c r="N2" s="415" t="s">
        <v>598</v>
      </c>
      <c r="O2" s="415" t="s">
        <v>599</v>
      </c>
      <c r="P2" s="415" t="s">
        <v>599</v>
      </c>
      <c r="R2" s="346"/>
      <c r="S2" s="304"/>
    </row>
    <row r="3" spans="2:19" ht="27" thickTop="1">
      <c r="B3" s="382" t="s">
        <v>563</v>
      </c>
      <c r="C3" s="427" t="s">
        <v>591</v>
      </c>
      <c r="D3" s="427" t="s">
        <v>578</v>
      </c>
      <c r="E3" s="427" t="s">
        <v>588</v>
      </c>
      <c r="F3" s="427" t="s">
        <v>587</v>
      </c>
      <c r="G3" s="427" t="s">
        <v>580</v>
      </c>
      <c r="H3" s="427" t="s">
        <v>591</v>
      </c>
      <c r="I3" s="427" t="s">
        <v>569</v>
      </c>
      <c r="J3" s="427"/>
      <c r="K3" s="427"/>
      <c r="L3" s="427"/>
      <c r="M3" s="427" t="s">
        <v>568</v>
      </c>
      <c r="N3" s="427" t="s">
        <v>569</v>
      </c>
      <c r="O3" s="427" t="s">
        <v>568</v>
      </c>
      <c r="P3" s="427" t="s">
        <v>569</v>
      </c>
      <c r="R3" s="350"/>
      <c r="S3" s="90"/>
    </row>
    <row r="4" spans="2:19" s="304" customFormat="1">
      <c r="B4" s="416">
        <v>1960</v>
      </c>
      <c r="C4" s="299">
        <v>2234665.2185439151</v>
      </c>
      <c r="D4" s="299">
        <v>123.166702270508</v>
      </c>
      <c r="E4" s="310">
        <v>0.26540284360189575</v>
      </c>
      <c r="F4" s="299"/>
      <c r="G4" s="299">
        <v>26.655999999999999</v>
      </c>
      <c r="H4" s="299"/>
      <c r="I4" s="299"/>
      <c r="J4" s="299"/>
      <c r="K4" s="299"/>
      <c r="L4" s="299"/>
      <c r="P4" s="306"/>
    </row>
    <row r="5" spans="2:19" s="304" customFormat="1">
      <c r="B5" s="416">
        <v>1961</v>
      </c>
      <c r="C5" s="299">
        <v>2388863.4989098529</v>
      </c>
      <c r="D5" s="299">
        <v>126</v>
      </c>
      <c r="E5" s="310">
        <v>0.26382306477093209</v>
      </c>
      <c r="F5" s="299">
        <f>+RER!G5</f>
        <v>2092.3165610263982</v>
      </c>
      <c r="G5" s="299">
        <v>28.709</v>
      </c>
      <c r="H5" s="308">
        <f t="shared" ref="H5:H36" si="0">+(G5/E4)</f>
        <v>108.1714107142857</v>
      </c>
      <c r="I5" s="309">
        <f t="shared" ref="I5:I36" si="1">+H5/C5</f>
        <v>4.5281536916466442E-5</v>
      </c>
      <c r="J5" s="306"/>
      <c r="K5" s="309"/>
      <c r="L5" s="309">
        <f>+N5</f>
        <v>9.4743309599050973E-2</v>
      </c>
      <c r="M5" s="299">
        <f t="shared" ref="M5:M36" si="2">+H5*F5</f>
        <v>226328.83406708835</v>
      </c>
      <c r="N5" s="309">
        <f t="shared" ref="N5:N36" si="3">+M5/C5</f>
        <v>9.4743309599050973E-2</v>
      </c>
      <c r="O5" s="299">
        <f t="shared" ref="O5:O36" si="4">H5*$D$38</f>
        <v>206951.57622564933</v>
      </c>
      <c r="P5" s="428">
        <f t="shared" ref="P5:P36" si="5">+O5/C5</f>
        <v>8.6631813127912391E-2</v>
      </c>
      <c r="Q5" s="372"/>
    </row>
    <row r="6" spans="2:19" s="304" customFormat="1">
      <c r="B6" s="416">
        <v>1962</v>
      </c>
      <c r="C6" s="299">
        <v>2467702.1700095898</v>
      </c>
      <c r="D6" s="299">
        <v>126</v>
      </c>
      <c r="E6" s="310">
        <v>0.2646129541864139</v>
      </c>
      <c r="F6" s="299">
        <f>+RER!G6</f>
        <v>2039.0806821394035</v>
      </c>
      <c r="G6" s="299">
        <v>29.193999999999999</v>
      </c>
      <c r="H6" s="308">
        <f t="shared" si="0"/>
        <v>110.65749700598801</v>
      </c>
      <c r="I6" s="309">
        <f t="shared" si="1"/>
        <v>4.4842322688218887E-5</v>
      </c>
      <c r="J6" s="306">
        <f>+I6-I5</f>
        <v>-4.3921422824755503E-7</v>
      </c>
      <c r="K6" s="309">
        <f>+J6*F6</f>
        <v>-8.9559324814035622E-4</v>
      </c>
      <c r="L6" s="429">
        <f>+L5+K6</f>
        <v>9.3847716350910618E-2</v>
      </c>
      <c r="M6" s="299">
        <f t="shared" si="2"/>
        <v>225639.56447880901</v>
      </c>
      <c r="N6" s="309">
        <f t="shared" si="3"/>
        <v>9.1437113935808612E-2</v>
      </c>
      <c r="O6" s="299">
        <f t="shared" si="4"/>
        <v>211707.91131736524</v>
      </c>
      <c r="P6" s="428">
        <f t="shared" si="5"/>
        <v>8.5791516452142405E-2</v>
      </c>
      <c r="Q6" s="431"/>
    </row>
    <row r="7" spans="2:19" s="304" customFormat="1">
      <c r="B7" s="416">
        <v>1963</v>
      </c>
      <c r="C7" s="299">
        <v>2583938.1315578753</v>
      </c>
      <c r="D7" s="299">
        <v>126</v>
      </c>
      <c r="E7" s="310">
        <v>0.26382306477093209</v>
      </c>
      <c r="F7" s="299">
        <f>+RER!G7</f>
        <v>2013.5998343670776</v>
      </c>
      <c r="G7" s="299">
        <v>29.581</v>
      </c>
      <c r="H7" s="308">
        <f t="shared" si="0"/>
        <v>111.78968955223881</v>
      </c>
      <c r="I7" s="309">
        <f t="shared" si="1"/>
        <v>4.3263299607270392E-5</v>
      </c>
      <c r="J7" s="306">
        <f t="shared" ref="J7:J60" si="6">+I7-I6</f>
        <v>-1.5790230809484951E-6</v>
      </c>
      <c r="K7" s="309">
        <f t="shared" ref="K7:K60" si="7">+J7*F7</f>
        <v>-3.1795206142596825E-3</v>
      </c>
      <c r="L7" s="429">
        <f t="shared" ref="L7:L60" si="8">+L6+K7</f>
        <v>9.0668195736650942E-2</v>
      </c>
      <c r="M7" s="299">
        <f t="shared" si="2"/>
        <v>225099.70036633511</v>
      </c>
      <c r="N7" s="309">
        <f t="shared" si="3"/>
        <v>8.7114972923372919E-2</v>
      </c>
      <c r="O7" s="299">
        <f t="shared" si="4"/>
        <v>213874.00151153325</v>
      </c>
      <c r="P7" s="428">
        <f t="shared" si="5"/>
        <v>8.2770558203182298E-2</v>
      </c>
      <c r="Q7" s="431"/>
    </row>
    <row r="8" spans="2:19" s="304" customFormat="1">
      <c r="B8" s="416">
        <v>1964</v>
      </c>
      <c r="C8" s="299">
        <v>2692785.940305342</v>
      </c>
      <c r="D8" s="299">
        <v>144</v>
      </c>
      <c r="E8" s="310">
        <v>0.26540284360189575</v>
      </c>
      <c r="F8" s="299">
        <f>+RER!G8</f>
        <v>2184.2110582164382</v>
      </c>
      <c r="G8" s="299">
        <v>33.645000000000003</v>
      </c>
      <c r="H8" s="308">
        <f t="shared" si="0"/>
        <v>127.52865269461078</v>
      </c>
      <c r="I8" s="309">
        <f t="shared" si="1"/>
        <v>4.7359372605811356E-5</v>
      </c>
      <c r="J8" s="306">
        <f t="shared" si="6"/>
        <v>4.0960729985409645E-6</v>
      </c>
      <c r="K8" s="309">
        <f t="shared" si="7"/>
        <v>8.9466879386749399E-3</v>
      </c>
      <c r="L8" s="429">
        <f t="shared" si="8"/>
        <v>9.961488367532588E-2</v>
      </c>
      <c r="M8" s="299">
        <f t="shared" si="2"/>
        <v>278549.49345501245</v>
      </c>
      <c r="N8" s="309">
        <f t="shared" si="3"/>
        <v>0.10344286535580581</v>
      </c>
      <c r="O8" s="299">
        <f t="shared" si="4"/>
        <v>243985.49963255308</v>
      </c>
      <c r="P8" s="428">
        <f t="shared" si="5"/>
        <v>9.0607090589936365E-2</v>
      </c>
      <c r="Q8" s="431"/>
    </row>
    <row r="9" spans="2:19" s="304" customFormat="1">
      <c r="B9" s="416">
        <v>1965</v>
      </c>
      <c r="C9" s="299">
        <v>2858876.2974237306</v>
      </c>
      <c r="D9" s="299">
        <v>142.5</v>
      </c>
      <c r="E9" s="310">
        <v>0.27409162717219593</v>
      </c>
      <c r="F9" s="299">
        <f>+RER!G9</f>
        <v>2092.3488317537708</v>
      </c>
      <c r="G9" s="299">
        <v>41.984999999999999</v>
      </c>
      <c r="H9" s="308">
        <f t="shared" si="0"/>
        <v>158.19348214285714</v>
      </c>
      <c r="I9" s="309">
        <f t="shared" si="1"/>
        <v>5.5334147296059229E-5</v>
      </c>
      <c r="J9" s="306">
        <f t="shared" si="6"/>
        <v>7.9747746902478729E-6</v>
      </c>
      <c r="K9" s="309">
        <f t="shared" si="7"/>
        <v>1.6686010506639676E-2</v>
      </c>
      <c r="L9" s="429">
        <f t="shared" si="8"/>
        <v>0.11630089418196556</v>
      </c>
      <c r="M9" s="299">
        <f t="shared" si="2"/>
        <v>330995.94755266811</v>
      </c>
      <c r="N9" s="309">
        <f t="shared" si="3"/>
        <v>0.11577833845100059</v>
      </c>
      <c r="O9" s="299">
        <f t="shared" si="4"/>
        <v>302652.89379058441</v>
      </c>
      <c r="P9" s="428">
        <f t="shared" si="5"/>
        <v>0.10586428453141514</v>
      </c>
      <c r="Q9" s="431"/>
    </row>
    <row r="10" spans="2:19" s="304" customFormat="1">
      <c r="B10" s="416">
        <v>1966</v>
      </c>
      <c r="C10" s="299">
        <v>2915810.9141769381</v>
      </c>
      <c r="D10" s="299">
        <v>132</v>
      </c>
      <c r="E10" s="310">
        <v>0.27962085308056872</v>
      </c>
      <c r="F10" s="299">
        <f>+RER!G10</f>
        <v>1975.5359582037941</v>
      </c>
      <c r="G10" s="299">
        <v>52.198999999999998</v>
      </c>
      <c r="H10" s="308">
        <f t="shared" si="0"/>
        <v>190.443613832853</v>
      </c>
      <c r="I10" s="309">
        <f t="shared" si="1"/>
        <v>6.5314116531664938E-5</v>
      </c>
      <c r="J10" s="306">
        <f t="shared" si="6"/>
        <v>9.9799692356057087E-6</v>
      </c>
      <c r="K10" s="309">
        <f t="shared" si="7"/>
        <v>1.9715788086706709E-2</v>
      </c>
      <c r="L10" s="429">
        <f t="shared" si="8"/>
        <v>0.13601668226867225</v>
      </c>
      <c r="M10" s="299">
        <f t="shared" si="2"/>
        <v>376228.20713707857</v>
      </c>
      <c r="N10" s="309">
        <f t="shared" si="3"/>
        <v>0.12903038578661694</v>
      </c>
      <c r="O10" s="299">
        <f t="shared" si="4"/>
        <v>364353.2593738538</v>
      </c>
      <c r="P10" s="428">
        <f t="shared" si="5"/>
        <v>0.12495778021898989</v>
      </c>
      <c r="Q10" s="431"/>
    </row>
    <row r="11" spans="2:19" s="304" customFormat="1">
      <c r="B11" s="416">
        <v>1967</v>
      </c>
      <c r="C11" s="299">
        <v>3182618.3198043886</v>
      </c>
      <c r="D11" s="299">
        <v>136.5</v>
      </c>
      <c r="E11" s="310">
        <v>0.28436018957345971</v>
      </c>
      <c r="F11" s="299">
        <f>+RER!G11</f>
        <v>2072.5163830317379</v>
      </c>
      <c r="G11" s="299">
        <v>78.063000000000002</v>
      </c>
      <c r="H11" s="308">
        <f t="shared" si="0"/>
        <v>279.17445762711867</v>
      </c>
      <c r="I11" s="309">
        <f t="shared" si="1"/>
        <v>8.7718485088176526E-5</v>
      </c>
      <c r="J11" s="306">
        <f t="shared" si="6"/>
        <v>2.2404368556511588E-5</v>
      </c>
      <c r="K11" s="309">
        <f t="shared" si="7"/>
        <v>4.6433420884851397E-2</v>
      </c>
      <c r="L11" s="429">
        <f t="shared" si="8"/>
        <v>0.18245010315352364</v>
      </c>
      <c r="M11" s="299">
        <f t="shared" si="2"/>
        <v>578593.63715620316</v>
      </c>
      <c r="N11" s="309">
        <f t="shared" si="3"/>
        <v>0.18179799743997105</v>
      </c>
      <c r="O11" s="299">
        <f t="shared" si="4"/>
        <v>534111.49643297389</v>
      </c>
      <c r="P11" s="428">
        <f t="shared" si="5"/>
        <v>0.16782141078915228</v>
      </c>
      <c r="Q11" s="431"/>
    </row>
    <row r="12" spans="2:19" s="304" customFormat="1">
      <c r="B12" s="416">
        <v>1968</v>
      </c>
      <c r="C12" s="299">
        <v>3326697.8012297112</v>
      </c>
      <c r="D12" s="299">
        <v>131.4</v>
      </c>
      <c r="E12" s="310">
        <v>0.29304897314375988</v>
      </c>
      <c r="F12" s="299">
        <f>+RER!G12</f>
        <v>1975.8416420808028</v>
      </c>
      <c r="G12" s="299">
        <v>100.02</v>
      </c>
      <c r="H12" s="308">
        <f t="shared" si="0"/>
        <v>351.73699999999997</v>
      </c>
      <c r="I12" s="309">
        <f t="shared" si="1"/>
        <v>1.0573157557923676E-4</v>
      </c>
      <c r="J12" s="306">
        <f t="shared" si="6"/>
        <v>1.8013090491060234E-5</v>
      </c>
      <c r="K12" s="309">
        <f t="shared" si="7"/>
        <v>3.5591014294806544E-2</v>
      </c>
      <c r="L12" s="429">
        <f t="shared" si="8"/>
        <v>0.21804111744833019</v>
      </c>
      <c r="M12" s="299">
        <f t="shared" si="2"/>
        <v>694976.61166057526</v>
      </c>
      <c r="N12" s="309">
        <f t="shared" si="3"/>
        <v>0.20890884991226968</v>
      </c>
      <c r="O12" s="299">
        <f t="shared" si="4"/>
        <v>672936.83318181813</v>
      </c>
      <c r="P12" s="428">
        <f t="shared" si="5"/>
        <v>0.20228372800591252</v>
      </c>
      <c r="Q12" s="431"/>
    </row>
    <row r="13" spans="2:19" s="304" customFormat="1">
      <c r="B13" s="416">
        <v>1969</v>
      </c>
      <c r="C13" s="299">
        <v>3483090.9017626471</v>
      </c>
      <c r="D13" s="299">
        <v>130.9</v>
      </c>
      <c r="E13" s="310">
        <v>0.30726698262243285</v>
      </c>
      <c r="F13" s="299">
        <f>+RER!G13</f>
        <v>2033.9685975833072</v>
      </c>
      <c r="G13" s="299">
        <v>121.334</v>
      </c>
      <c r="H13" s="308">
        <f t="shared" si="0"/>
        <v>414.04001078167113</v>
      </c>
      <c r="I13" s="309">
        <f t="shared" si="1"/>
        <v>1.1887143415411374E-4</v>
      </c>
      <c r="J13" s="306">
        <f t="shared" si="6"/>
        <v>1.3139858574876976E-5</v>
      </c>
      <c r="K13" s="309">
        <f t="shared" si="7"/>
        <v>2.6726059717985518E-2</v>
      </c>
      <c r="L13" s="429">
        <f t="shared" si="8"/>
        <v>0.24476717716631571</v>
      </c>
      <c r="M13" s="299">
        <f t="shared" si="2"/>
        <v>842144.38007297297</v>
      </c>
      <c r="N13" s="309">
        <f t="shared" si="3"/>
        <v>0.24178076421915914</v>
      </c>
      <c r="O13" s="299">
        <f t="shared" si="4"/>
        <v>792133.82062729716</v>
      </c>
      <c r="P13" s="428">
        <f t="shared" si="5"/>
        <v>0.22742266652484758</v>
      </c>
      <c r="Q13" s="431"/>
    </row>
    <row r="14" spans="2:19" s="304" customFormat="1">
      <c r="B14" s="416">
        <v>1970</v>
      </c>
      <c r="C14" s="299">
        <v>3676521.768305101</v>
      </c>
      <c r="D14" s="299">
        <v>135</v>
      </c>
      <c r="E14" s="310">
        <v>0.31437598736176936</v>
      </c>
      <c r="F14" s="299">
        <f>+RER!G14</f>
        <v>2150.832445716454</v>
      </c>
      <c r="G14" s="299">
        <v>146.977</v>
      </c>
      <c r="H14" s="308">
        <f t="shared" si="0"/>
        <v>478.3364575835476</v>
      </c>
      <c r="I14" s="309">
        <f t="shared" si="1"/>
        <v>1.3010570526393581E-4</v>
      </c>
      <c r="J14" s="306">
        <f t="shared" si="6"/>
        <v>1.1234271109822073E-5</v>
      </c>
      <c r="K14" s="309">
        <f t="shared" si="7"/>
        <v>2.4163034806980312E-2</v>
      </c>
      <c r="L14" s="429">
        <f t="shared" si="8"/>
        <v>0.26893021197329603</v>
      </c>
      <c r="M14" s="299">
        <f t="shared" si="2"/>
        <v>1028821.5729397666</v>
      </c>
      <c r="N14" s="309">
        <f t="shared" si="3"/>
        <v>0.27983557225449524</v>
      </c>
      <c r="O14" s="299">
        <f t="shared" si="4"/>
        <v>915144.61362234177</v>
      </c>
      <c r="P14" s="428">
        <f t="shared" si="5"/>
        <v>0.24891586975268448</v>
      </c>
      <c r="Q14" s="431"/>
    </row>
    <row r="15" spans="2:19" s="304" customFormat="1">
      <c r="B15" s="416">
        <v>1971</v>
      </c>
      <c r="C15" s="299">
        <v>3880133.1298964876</v>
      </c>
      <c r="D15" s="299">
        <v>135.19583333333333</v>
      </c>
      <c r="E15" s="310">
        <v>0.32464454976303325</v>
      </c>
      <c r="F15" s="299">
        <f>+RER!G15</f>
        <v>2073.6130905196387</v>
      </c>
      <c r="G15" s="299">
        <v>165.71299999999999</v>
      </c>
      <c r="H15" s="308">
        <f t="shared" si="0"/>
        <v>527.11723115577888</v>
      </c>
      <c r="I15" s="309">
        <f t="shared" si="1"/>
        <v>1.358502952113504E-4</v>
      </c>
      <c r="J15" s="306">
        <f t="shared" si="6"/>
        <v>5.7445899474145871E-6</v>
      </c>
      <c r="K15" s="309">
        <f t="shared" si="7"/>
        <v>1.191205691462641E-2</v>
      </c>
      <c r="L15" s="429">
        <f t="shared" si="8"/>
        <v>0.28084226888792246</v>
      </c>
      <c r="M15" s="299">
        <f t="shared" si="2"/>
        <v>1093037.1907630893</v>
      </c>
      <c r="N15" s="309">
        <f t="shared" si="3"/>
        <v>0.28170095050121358</v>
      </c>
      <c r="O15" s="299">
        <f t="shared" si="4"/>
        <v>1008471.1026975788</v>
      </c>
      <c r="P15" s="428">
        <f t="shared" si="5"/>
        <v>0.25990631479298815</v>
      </c>
      <c r="Q15" s="431"/>
    </row>
    <row r="16" spans="2:19" s="304" customFormat="1">
      <c r="B16" s="416">
        <v>1972</v>
      </c>
      <c r="C16" s="299">
        <v>4137436.3002019459</v>
      </c>
      <c r="D16" s="299">
        <v>134.33333333333334</v>
      </c>
      <c r="E16" s="310">
        <v>0.33728278041074256</v>
      </c>
      <c r="F16" s="299">
        <f>+RER!G16</f>
        <v>1943.3701977676417</v>
      </c>
      <c r="G16" s="299">
        <v>181.43600000000001</v>
      </c>
      <c r="H16" s="308">
        <f t="shared" si="0"/>
        <v>558.87585401459842</v>
      </c>
      <c r="I16" s="309">
        <f t="shared" si="1"/>
        <v>1.3507781472969627E-4</v>
      </c>
      <c r="J16" s="306">
        <f t="shared" si="6"/>
        <v>-7.7248048165412335E-7</v>
      </c>
      <c r="K16" s="309">
        <f t="shared" si="7"/>
        <v>-1.5012155464038169E-3</v>
      </c>
      <c r="L16" s="429">
        <f t="shared" si="8"/>
        <v>0.27934105334151865</v>
      </c>
      <c r="M16" s="299">
        <f t="shared" si="2"/>
        <v>1086102.6789439097</v>
      </c>
      <c r="N16" s="309">
        <f t="shared" si="3"/>
        <v>0.26250619952527066</v>
      </c>
      <c r="O16" s="299">
        <f t="shared" si="4"/>
        <v>1069231.1225215658</v>
      </c>
      <c r="P16" s="428">
        <f t="shared" si="5"/>
        <v>0.25842841918058707</v>
      </c>
      <c r="Q16" s="431"/>
    </row>
    <row r="17" spans="2:17" s="304" customFormat="1">
      <c r="B17" s="416">
        <v>1973</v>
      </c>
      <c r="C17" s="299">
        <v>4439585.5323656304</v>
      </c>
      <c r="D17" s="299">
        <v>135.41666666666666</v>
      </c>
      <c r="E17" s="310">
        <v>0.37598736176935232</v>
      </c>
      <c r="F17" s="299">
        <f>+RER!G17</f>
        <v>1783.2649597843558</v>
      </c>
      <c r="G17" s="299">
        <v>195.39500000000001</v>
      </c>
      <c r="H17" s="308">
        <f t="shared" si="0"/>
        <v>579.32100702576111</v>
      </c>
      <c r="I17" s="309">
        <f t="shared" si="1"/>
        <v>1.3048988532879337E-4</v>
      </c>
      <c r="J17" s="306">
        <f t="shared" si="6"/>
        <v>-4.5879294009029063E-6</v>
      </c>
      <c r="K17" s="309">
        <f t="shared" si="7"/>
        <v>-8.1814937385945845E-3</v>
      </c>
      <c r="L17" s="429">
        <f t="shared" si="8"/>
        <v>0.27115955960292409</v>
      </c>
      <c r="M17" s="299">
        <f t="shared" si="2"/>
        <v>1033082.8522960264</v>
      </c>
      <c r="N17" s="309">
        <f t="shared" si="3"/>
        <v>0.2326980401131159</v>
      </c>
      <c r="O17" s="299">
        <f t="shared" si="4"/>
        <v>1108346.4175324675</v>
      </c>
      <c r="P17" s="428">
        <f t="shared" si="5"/>
        <v>0.24965087606767783</v>
      </c>
      <c r="Q17" s="431"/>
    </row>
    <row r="18" spans="2:17" s="304" customFormat="1">
      <c r="B18" s="416">
        <v>1974</v>
      </c>
      <c r="C18" s="299">
        <v>4811690.5231053187</v>
      </c>
      <c r="D18" s="299">
        <v>136.54166666666666</v>
      </c>
      <c r="E18" s="310">
        <v>0.44549763033175355</v>
      </c>
      <c r="F18" s="299">
        <f>+RER!G18</f>
        <v>1643.3591885574017</v>
      </c>
      <c r="G18" s="299">
        <v>225.84200000000001</v>
      </c>
      <c r="H18" s="308">
        <f t="shared" si="0"/>
        <v>600.66380672268906</v>
      </c>
      <c r="I18" s="309">
        <f t="shared" si="1"/>
        <v>1.248342560350367E-4</v>
      </c>
      <c r="J18" s="306">
        <f t="shared" si="6"/>
        <v>-5.6556292937566706E-6</v>
      </c>
      <c r="K18" s="309">
        <f t="shared" si="7"/>
        <v>-9.2942303669694328E-3</v>
      </c>
      <c r="L18" s="429">
        <f t="shared" si="8"/>
        <v>0.26186532923595468</v>
      </c>
      <c r="M18" s="299">
        <f t="shared" si="2"/>
        <v>987106.38601159828</v>
      </c>
      <c r="N18" s="309">
        <f t="shared" si="3"/>
        <v>0.20514752170190487</v>
      </c>
      <c r="O18" s="299">
        <f t="shared" si="4"/>
        <v>1149179.0738617266</v>
      </c>
      <c r="P18" s="428">
        <f t="shared" si="5"/>
        <v>0.23883062893248616</v>
      </c>
      <c r="Q18" s="431"/>
    </row>
    <row r="19" spans="2:17" s="304" customFormat="1">
      <c r="B19" s="416">
        <v>1975</v>
      </c>
      <c r="C19" s="299">
        <v>5141408.956048863</v>
      </c>
      <c r="D19" s="299">
        <v>139.5</v>
      </c>
      <c r="E19" s="310">
        <v>0.47472353870458134</v>
      </c>
      <c r="F19" s="299">
        <f>+RER!G19</f>
        <v>1830.4921296608186</v>
      </c>
      <c r="G19" s="299">
        <v>267.37400000000002</v>
      </c>
      <c r="H19" s="308">
        <f t="shared" si="0"/>
        <v>600.16929787234051</v>
      </c>
      <c r="I19" s="309">
        <f t="shared" si="1"/>
        <v>1.1673245660924169E-4</v>
      </c>
      <c r="J19" s="306">
        <f t="shared" si="6"/>
        <v>-8.1017994257950073E-6</v>
      </c>
      <c r="K19" s="309">
        <f t="shared" si="7"/>
        <v>-1.48302800850083E-2</v>
      </c>
      <c r="L19" s="429">
        <f t="shared" si="8"/>
        <v>0.24703504915094637</v>
      </c>
      <c r="M19" s="299">
        <f t="shared" si="2"/>
        <v>1098605.1762193788</v>
      </c>
      <c r="N19" s="309">
        <f t="shared" si="3"/>
        <v>0.21367784309918994</v>
      </c>
      <c r="O19" s="299">
        <f t="shared" si="4"/>
        <v>1148232.9885203096</v>
      </c>
      <c r="P19" s="428">
        <f t="shared" si="5"/>
        <v>0.22333041357649919</v>
      </c>
      <c r="Q19" s="431"/>
    </row>
    <row r="20" spans="2:17" s="304" customFormat="1">
      <c r="B20" s="416">
        <v>1976</v>
      </c>
      <c r="C20" s="299">
        <v>5528348.7992478637</v>
      </c>
      <c r="D20" s="299">
        <v>138.4</v>
      </c>
      <c r="E20" s="310">
        <v>0.49289099526066349</v>
      </c>
      <c r="F20" s="299">
        <f>+RER!G20</f>
        <v>1872.1946767548188</v>
      </c>
      <c r="G20" s="299">
        <v>383.41800000000001</v>
      </c>
      <c r="H20" s="308">
        <f t="shared" si="0"/>
        <v>807.66587021630619</v>
      </c>
      <c r="I20" s="309">
        <f t="shared" si="1"/>
        <v>1.4609531698256626E-4</v>
      </c>
      <c r="J20" s="306">
        <f t="shared" si="6"/>
        <v>2.9362860373324568E-5</v>
      </c>
      <c r="K20" s="309">
        <f t="shared" si="7"/>
        <v>5.4972990885233268E-2</v>
      </c>
      <c r="L20" s="429">
        <f t="shared" si="8"/>
        <v>0.30200804003617965</v>
      </c>
      <c r="M20" s="299">
        <f t="shared" si="2"/>
        <v>1512107.7428155169</v>
      </c>
      <c r="N20" s="309">
        <f t="shared" si="3"/>
        <v>0.27351887475356845</v>
      </c>
      <c r="O20" s="299">
        <f t="shared" si="4"/>
        <v>1545211.6580638331</v>
      </c>
      <c r="P20" s="428">
        <f t="shared" si="5"/>
        <v>0.27950690417255519</v>
      </c>
      <c r="Q20" s="431"/>
    </row>
    <row r="21" spans="2:17" s="304" customFormat="1">
      <c r="B21" s="416">
        <v>1977</v>
      </c>
      <c r="C21" s="299">
        <v>6163781.7214908572</v>
      </c>
      <c r="D21" s="299">
        <v>133.07500000000002</v>
      </c>
      <c r="E21" s="310">
        <v>0.52685624012638232</v>
      </c>
      <c r="F21" s="299">
        <f>+RER!G21</f>
        <v>1708.8005845025818</v>
      </c>
      <c r="G21" s="299">
        <v>431.73200000000003</v>
      </c>
      <c r="H21" s="308">
        <f t="shared" si="0"/>
        <v>875.91780769230775</v>
      </c>
      <c r="I21" s="309">
        <f t="shared" si="1"/>
        <v>1.4210720743700284E-4</v>
      </c>
      <c r="J21" s="306">
        <f t="shared" si="6"/>
        <v>-3.9881095455634194E-6</v>
      </c>
      <c r="K21" s="309">
        <f t="shared" si="7"/>
        <v>-6.8148839225190974E-3</v>
      </c>
      <c r="L21" s="429">
        <f t="shared" si="8"/>
        <v>0.29519315611366054</v>
      </c>
      <c r="M21" s="299">
        <f t="shared" si="2"/>
        <v>1496768.8617608356</v>
      </c>
      <c r="N21" s="309">
        <f t="shared" si="3"/>
        <v>0.24283287913038012</v>
      </c>
      <c r="O21" s="299">
        <f t="shared" si="4"/>
        <v>1675790.0238986015</v>
      </c>
      <c r="P21" s="428">
        <f t="shared" si="5"/>
        <v>0.2718769255010659</v>
      </c>
      <c r="Q21" s="431"/>
    </row>
    <row r="22" spans="2:17" s="304" customFormat="1">
      <c r="B22" s="416">
        <v>1978</v>
      </c>
      <c r="C22" s="299">
        <v>6905206.3791843159</v>
      </c>
      <c r="D22" s="299">
        <v>139.29166666666666</v>
      </c>
      <c r="E22" s="310">
        <v>0.57503949447077407</v>
      </c>
      <c r="F22" s="299">
        <f>+RER!G22</f>
        <v>1636.368213335991</v>
      </c>
      <c r="G22" s="299">
        <v>561.75300000000004</v>
      </c>
      <c r="H22" s="308">
        <f t="shared" si="0"/>
        <v>1066.2358290854572</v>
      </c>
      <c r="I22" s="309">
        <f t="shared" si="1"/>
        <v>1.5441042172173388E-4</v>
      </c>
      <c r="J22" s="306">
        <f t="shared" si="6"/>
        <v>1.2303214284731039E-5</v>
      </c>
      <c r="K22" s="309">
        <f t="shared" si="7"/>
        <v>2.0132588777395172E-2</v>
      </c>
      <c r="L22" s="429">
        <f t="shared" si="8"/>
        <v>0.31532574489105569</v>
      </c>
      <c r="M22" s="299">
        <f t="shared" si="2"/>
        <v>1744754.4186353886</v>
      </c>
      <c r="N22" s="309">
        <f t="shared" si="3"/>
        <v>0.25267230591325052</v>
      </c>
      <c r="O22" s="299">
        <f t="shared" si="4"/>
        <v>2039903.0021003135</v>
      </c>
      <c r="P22" s="428">
        <f t="shared" si="5"/>
        <v>0.29541521137580817</v>
      </c>
      <c r="Q22" s="431"/>
    </row>
    <row r="23" spans="2:17" s="304" customFormat="1">
      <c r="B23" s="416">
        <v>1979</v>
      </c>
      <c r="C23" s="299">
        <v>7724312.1086387523</v>
      </c>
      <c r="D23" s="299">
        <v>139</v>
      </c>
      <c r="E23" s="310">
        <v>0.6492890995260665</v>
      </c>
      <c r="F23" s="299">
        <f>+RER!G23</f>
        <v>1313.3650224948124</v>
      </c>
      <c r="G23" s="299">
        <v>573.96799999999996</v>
      </c>
      <c r="H23" s="308">
        <f t="shared" si="0"/>
        <v>998.13665934065932</v>
      </c>
      <c r="I23" s="309">
        <f t="shared" si="1"/>
        <v>1.2922013576126197E-4</v>
      </c>
      <c r="J23" s="306">
        <f t="shared" si="6"/>
        <v>-2.5190285960471903E-5</v>
      </c>
      <c r="K23" s="309">
        <f t="shared" si="7"/>
        <v>-3.3084040487125939E-2</v>
      </c>
      <c r="L23" s="429">
        <f t="shared" si="8"/>
        <v>0.28224170440392976</v>
      </c>
      <c r="M23" s="299">
        <f t="shared" si="2"/>
        <v>1310917.7760478419</v>
      </c>
      <c r="N23" s="309">
        <f t="shared" si="3"/>
        <v>0.16971320651087254</v>
      </c>
      <c r="O23" s="299">
        <f t="shared" si="4"/>
        <v>1909616.9087112888</v>
      </c>
      <c r="P23" s="428">
        <f t="shared" si="5"/>
        <v>0.24722161428143258</v>
      </c>
      <c r="Q23" s="431"/>
    </row>
    <row r="24" spans="2:17" s="304" customFormat="1">
      <c r="B24" s="410">
        <v>1980</v>
      </c>
      <c r="C24" s="299">
        <v>8628994.8158898093</v>
      </c>
      <c r="D24" s="299">
        <v>135.70833333333334</v>
      </c>
      <c r="E24" s="310">
        <v>0.72511848341232232</v>
      </c>
      <c r="F24" s="299">
        <f>+RER!G24</f>
        <v>1258.7938180951719</v>
      </c>
      <c r="G24" s="299">
        <v>690.64</v>
      </c>
      <c r="H24" s="308">
        <f t="shared" si="0"/>
        <v>1063.6864233576639</v>
      </c>
      <c r="I24" s="309">
        <f t="shared" si="1"/>
        <v>1.2326886804925934E-4</v>
      </c>
      <c r="J24" s="306">
        <f t="shared" si="6"/>
        <v>-5.951267712002629E-6</v>
      </c>
      <c r="K24" s="309">
        <f t="shared" si="7"/>
        <v>-7.4914190056983073E-3</v>
      </c>
      <c r="L24" s="429">
        <f t="shared" si="8"/>
        <v>0.27475028539823143</v>
      </c>
      <c r="M24" s="299">
        <f t="shared" si="2"/>
        <v>1338961.8941143912</v>
      </c>
      <c r="N24" s="309">
        <f t="shared" si="3"/>
        <v>0.15517008906399712</v>
      </c>
      <c r="O24" s="299">
        <f t="shared" si="4"/>
        <v>2035025.5254147307</v>
      </c>
      <c r="P24" s="428">
        <f t="shared" si="5"/>
        <v>0.23583575709969665</v>
      </c>
      <c r="Q24" s="431"/>
    </row>
    <row r="25" spans="2:17" s="304" customFormat="1">
      <c r="B25" s="416">
        <v>1981</v>
      </c>
      <c r="C25" s="299">
        <v>9420313.2346182</v>
      </c>
      <c r="D25" s="299">
        <v>149.70833333333334</v>
      </c>
      <c r="E25" s="310">
        <v>0.7764612954186414</v>
      </c>
      <c r="F25" s="299">
        <f>+RER!G25</f>
        <v>1434.3878380618864</v>
      </c>
      <c r="G25" s="299">
        <v>713.755</v>
      </c>
      <c r="H25" s="308">
        <f t="shared" si="0"/>
        <v>984.32879084967317</v>
      </c>
      <c r="I25" s="309">
        <f t="shared" si="1"/>
        <v>1.0449002770230787E-4</v>
      </c>
      <c r="J25" s="306">
        <f t="shared" si="6"/>
        <v>-1.8778840346951478E-5</v>
      </c>
      <c r="K25" s="309">
        <f t="shared" si="7"/>
        <v>-2.6936140206573055E-2</v>
      </c>
      <c r="L25" s="429">
        <f t="shared" si="8"/>
        <v>0.24781414519165837</v>
      </c>
      <c r="M25" s="299">
        <f t="shared" si="2"/>
        <v>1411909.2462489335</v>
      </c>
      <c r="N25" s="309">
        <f t="shared" si="3"/>
        <v>0.14987922493494002</v>
      </c>
      <c r="O25" s="299">
        <f t="shared" si="4"/>
        <v>1883199.9457664883</v>
      </c>
      <c r="P25" s="428">
        <f t="shared" si="5"/>
        <v>0.19990842118136992</v>
      </c>
      <c r="Q25" s="431"/>
    </row>
    <row r="26" spans="2:17" s="304" customFormat="1">
      <c r="B26" s="416">
        <v>1982</v>
      </c>
      <c r="C26" s="299">
        <v>9288653.2678140849</v>
      </c>
      <c r="D26" s="299">
        <v>205.66666666666666</v>
      </c>
      <c r="E26" s="310">
        <v>0.80410742496050558</v>
      </c>
      <c r="F26" s="299">
        <f>+RER!G26</f>
        <v>1938.0826870601752</v>
      </c>
      <c r="G26" s="299">
        <v>941.42200000000003</v>
      </c>
      <c r="H26" s="308">
        <f t="shared" si="0"/>
        <v>1212.4519348931842</v>
      </c>
      <c r="I26" s="309">
        <f t="shared" si="1"/>
        <v>1.3053043320008785E-4</v>
      </c>
      <c r="J26" s="306">
        <f t="shared" si="6"/>
        <v>2.6040405497779981E-5</v>
      </c>
      <c r="K26" s="309">
        <f t="shared" si="7"/>
        <v>5.0468459059273989E-2</v>
      </c>
      <c r="L26" s="429">
        <f t="shared" si="8"/>
        <v>0.29828260425093234</v>
      </c>
      <c r="M26" s="299">
        <f t="shared" si="2"/>
        <v>2349832.1039090911</v>
      </c>
      <c r="N26" s="309">
        <f t="shared" si="3"/>
        <v>0.25297877271955499</v>
      </c>
      <c r="O26" s="299">
        <f t="shared" si="4"/>
        <v>2319640.9972570059</v>
      </c>
      <c r="P26" s="428">
        <f t="shared" si="5"/>
        <v>0.24972845151780448</v>
      </c>
      <c r="Q26" s="431"/>
    </row>
    <row r="27" spans="2:17" s="304" customFormat="1">
      <c r="B27" s="416">
        <v>1983</v>
      </c>
      <c r="C27" s="299">
        <v>9006035.042173909</v>
      </c>
      <c r="D27" s="299">
        <v>320.75</v>
      </c>
      <c r="E27" s="310">
        <v>0.80805687203791465</v>
      </c>
      <c r="F27" s="299">
        <f>+RER!G27</f>
        <v>2743.2072336727256</v>
      </c>
      <c r="G27" s="299">
        <v>1203.787</v>
      </c>
      <c r="H27" s="308">
        <f t="shared" si="0"/>
        <v>1497.0474872298623</v>
      </c>
      <c r="I27" s="309">
        <f t="shared" si="1"/>
        <v>1.6622714437812132E-4</v>
      </c>
      <c r="J27" s="306">
        <f t="shared" si="6"/>
        <v>3.5696711178033474E-5</v>
      </c>
      <c r="K27" s="309">
        <f t="shared" si="7"/>
        <v>9.7923476321907468E-2</v>
      </c>
      <c r="L27" s="429">
        <f t="shared" si="8"/>
        <v>0.39620608057283979</v>
      </c>
      <c r="M27" s="299">
        <f t="shared" si="2"/>
        <v>4106711.4961205358</v>
      </c>
      <c r="N27" s="309">
        <f t="shared" si="3"/>
        <v>0.45599550489082297</v>
      </c>
      <c r="O27" s="299">
        <f t="shared" si="4"/>
        <v>2864124.0335229505</v>
      </c>
      <c r="P27" s="428">
        <f t="shared" si="5"/>
        <v>0.31802275031250576</v>
      </c>
      <c r="Q27" s="431"/>
    </row>
    <row r="28" spans="2:17" s="304" customFormat="1">
      <c r="B28" s="416">
        <v>1984</v>
      </c>
      <c r="C28" s="299">
        <v>9259698.9753414206</v>
      </c>
      <c r="D28" s="299">
        <v>388.25</v>
      </c>
      <c r="E28" s="310">
        <v>0.82148499210110582</v>
      </c>
      <c r="F28" s="299">
        <f>+RER!G28</f>
        <v>2570.5783363424357</v>
      </c>
      <c r="G28" s="299">
        <v>1402.075</v>
      </c>
      <c r="H28" s="308">
        <f t="shared" si="0"/>
        <v>1735.1192082111438</v>
      </c>
      <c r="I28" s="309">
        <f t="shared" si="1"/>
        <v>1.8738397574605465E-4</v>
      </c>
      <c r="J28" s="306">
        <f t="shared" si="6"/>
        <v>2.115683136793333E-5</v>
      </c>
      <c r="K28" s="309">
        <f t="shared" si="7"/>
        <v>5.438529238005952E-2</v>
      </c>
      <c r="L28" s="429">
        <f t="shared" si="8"/>
        <v>0.45059137295289931</v>
      </c>
      <c r="M28" s="299">
        <f t="shared" si="2"/>
        <v>4460259.8475992065</v>
      </c>
      <c r="N28" s="309">
        <f t="shared" si="3"/>
        <v>0.48168518863052451</v>
      </c>
      <c r="O28" s="299">
        <f t="shared" si="4"/>
        <v>3319598.521527593</v>
      </c>
      <c r="P28" s="428">
        <f t="shared" si="5"/>
        <v>0.35849961541597458</v>
      </c>
      <c r="Q28" s="431"/>
    </row>
    <row r="29" spans="2:17" s="304" customFormat="1">
      <c r="B29" s="416">
        <v>1985</v>
      </c>
      <c r="C29" s="299">
        <v>9678527.7234127894</v>
      </c>
      <c r="D29" s="299">
        <v>612.5</v>
      </c>
      <c r="E29" s="310">
        <v>0.83728278041074267</v>
      </c>
      <c r="F29" s="299">
        <f>+RER!G29</f>
        <v>3349.9264445196063</v>
      </c>
      <c r="G29" s="299">
        <v>1522.69</v>
      </c>
      <c r="H29" s="308">
        <f t="shared" si="0"/>
        <v>1853.5822500000002</v>
      </c>
      <c r="I29" s="309">
        <f t="shared" si="1"/>
        <v>1.9151489802690777E-4</v>
      </c>
      <c r="J29" s="306">
        <f t="shared" si="6"/>
        <v>4.1309222808531181E-6</v>
      </c>
      <c r="K29" s="309">
        <f t="shared" si="7"/>
        <v>1.3838285788885109E-2</v>
      </c>
      <c r="L29" s="429">
        <f t="shared" si="8"/>
        <v>0.46442965874178443</v>
      </c>
      <c r="M29" s="299">
        <f t="shared" si="2"/>
        <v>6209364.196367153</v>
      </c>
      <c r="N29" s="309">
        <f t="shared" si="3"/>
        <v>0.64156082141981419</v>
      </c>
      <c r="O29" s="299">
        <f t="shared" si="4"/>
        <v>3546239.8592045461</v>
      </c>
      <c r="P29" s="428">
        <f t="shared" si="5"/>
        <v>0.36640282081602493</v>
      </c>
      <c r="Q29" s="431"/>
    </row>
    <row r="30" spans="2:17" s="304" customFormat="1">
      <c r="B30" s="416">
        <v>1986</v>
      </c>
      <c r="C30" s="299">
        <v>10159050.719603689</v>
      </c>
      <c r="D30" s="299">
        <v>702.5</v>
      </c>
      <c r="E30" s="310">
        <v>0.81832543443917838</v>
      </c>
      <c r="F30" s="299">
        <f>+RER!G30</f>
        <v>3155.0842393668631</v>
      </c>
      <c r="G30" s="299">
        <v>1722.432</v>
      </c>
      <c r="H30" s="308">
        <f t="shared" si="0"/>
        <v>2057.1687849056598</v>
      </c>
      <c r="I30" s="309">
        <f t="shared" si="1"/>
        <v>2.0249616245502031E-4</v>
      </c>
      <c r="J30" s="306">
        <f t="shared" si="6"/>
        <v>1.098126442811254E-5</v>
      </c>
      <c r="K30" s="309">
        <f t="shared" si="7"/>
        <v>3.4646814325457846E-2</v>
      </c>
      <c r="L30" s="429">
        <f t="shared" si="8"/>
        <v>0.49907647306724229</v>
      </c>
      <c r="M30" s="299">
        <f t="shared" si="2"/>
        <v>6490540.8109733276</v>
      </c>
      <c r="N30" s="309">
        <f t="shared" si="3"/>
        <v>0.6388924506941065</v>
      </c>
      <c r="O30" s="299">
        <f t="shared" si="4"/>
        <v>3935737.9162126919</v>
      </c>
      <c r="P30" s="428">
        <f t="shared" si="5"/>
        <v>0.38741197626053664</v>
      </c>
      <c r="Q30" s="431"/>
    </row>
    <row r="31" spans="2:17" s="304" customFormat="1">
      <c r="B31" s="416">
        <v>1987</v>
      </c>
      <c r="C31" s="299">
        <v>10929340.866968166</v>
      </c>
      <c r="D31" s="299">
        <v>807.25</v>
      </c>
      <c r="E31" s="310">
        <v>0.83570300157977884</v>
      </c>
      <c r="F31" s="299">
        <f>+RER!G31</f>
        <v>2683.616579969465</v>
      </c>
      <c r="G31" s="299">
        <v>1924.1590000000001</v>
      </c>
      <c r="H31" s="308">
        <f t="shared" si="0"/>
        <v>2351.3371563706569</v>
      </c>
      <c r="I31" s="309">
        <f t="shared" si="1"/>
        <v>2.1513988674990656E-4</v>
      </c>
      <c r="J31" s="306">
        <f t="shared" si="6"/>
        <v>1.2643724294886255E-5</v>
      </c>
      <c r="K31" s="309">
        <f t="shared" si="7"/>
        <v>3.3930908150319489E-2</v>
      </c>
      <c r="L31" s="429">
        <f t="shared" si="8"/>
        <v>0.53300738121756175</v>
      </c>
      <c r="M31" s="299">
        <f t="shared" si="2"/>
        <v>6310087.377934549</v>
      </c>
      <c r="N31" s="309">
        <f t="shared" si="3"/>
        <v>0.57735296709480222</v>
      </c>
      <c r="O31" s="299">
        <f t="shared" si="4"/>
        <v>4498535.4959836798</v>
      </c>
      <c r="P31" s="428">
        <f t="shared" si="5"/>
        <v>0.41160171969561671</v>
      </c>
      <c r="Q31" s="431"/>
    </row>
    <row r="32" spans="2:17" s="304" customFormat="1">
      <c r="B32" s="416">
        <v>1988</v>
      </c>
      <c r="C32" s="299">
        <v>11575852.043612972</v>
      </c>
      <c r="D32" s="299">
        <v>933.75</v>
      </c>
      <c r="E32" s="310">
        <v>0.86887835703001581</v>
      </c>
      <c r="F32" s="299">
        <f>+RER!G32</f>
        <v>2710.7019464448599</v>
      </c>
      <c r="G32" s="299">
        <v>1884.646</v>
      </c>
      <c r="H32" s="308">
        <f t="shared" si="0"/>
        <v>2255.1624158790169</v>
      </c>
      <c r="I32" s="309">
        <f t="shared" si="1"/>
        <v>1.9481610575035923E-4</v>
      </c>
      <c r="J32" s="306">
        <f t="shared" si="6"/>
        <v>-2.032378099954733E-5</v>
      </c>
      <c r="K32" s="309">
        <f t="shared" si="7"/>
        <v>-5.5091712714592012E-2</v>
      </c>
      <c r="L32" s="429">
        <f t="shared" si="8"/>
        <v>0.47791566850296974</v>
      </c>
      <c r="M32" s="299">
        <f t="shared" si="2"/>
        <v>6113073.1502725435</v>
      </c>
      <c r="N32" s="309">
        <f t="shared" si="3"/>
        <v>0.5280883970563065</v>
      </c>
      <c r="O32" s="299">
        <f t="shared" si="4"/>
        <v>4314535.731106719</v>
      </c>
      <c r="P32" s="428">
        <f t="shared" si="5"/>
        <v>0.37271863141057365</v>
      </c>
      <c r="Q32" s="431"/>
    </row>
    <row r="33" spans="2:17" s="304" customFormat="1">
      <c r="B33" s="416">
        <v>1989</v>
      </c>
      <c r="C33" s="299">
        <v>12378660.98717171</v>
      </c>
      <c r="D33" s="299">
        <v>1145</v>
      </c>
      <c r="E33" s="310">
        <v>0.91232227488151663</v>
      </c>
      <c r="F33" s="299">
        <f>+RER!G33</f>
        <v>2688.7418012787107</v>
      </c>
      <c r="G33" s="299">
        <v>2076.17</v>
      </c>
      <c r="H33" s="308">
        <f t="shared" si="0"/>
        <v>2389.4829272727275</v>
      </c>
      <c r="I33" s="309">
        <f t="shared" si="1"/>
        <v>1.9303242327655662E-4</v>
      </c>
      <c r="J33" s="306">
        <f t="shared" si="6"/>
        <v>-1.783682473802616E-6</v>
      </c>
      <c r="K33" s="309">
        <f t="shared" si="7"/>
        <v>-4.7958616275213129E-3</v>
      </c>
      <c r="L33" s="429">
        <f t="shared" si="8"/>
        <v>0.47311980687544841</v>
      </c>
      <c r="M33" s="299">
        <f t="shared" si="2"/>
        <v>6424702.6299999999</v>
      </c>
      <c r="N33" s="309">
        <f t="shared" si="3"/>
        <v>0.51901434546580338</v>
      </c>
      <c r="O33" s="299">
        <f t="shared" si="4"/>
        <v>4571515.2913140506</v>
      </c>
      <c r="P33" s="428">
        <f t="shared" si="5"/>
        <v>0.36930612253228495</v>
      </c>
      <c r="Q33" s="431"/>
    </row>
    <row r="34" spans="2:17" s="304" customFormat="1">
      <c r="B34" s="416">
        <v>1990</v>
      </c>
      <c r="C34" s="299">
        <v>12889068.196377208</v>
      </c>
      <c r="D34" s="299">
        <v>1229.9166666666667</v>
      </c>
      <c r="E34" s="310">
        <v>0.9636650868878357</v>
      </c>
      <c r="F34" s="299">
        <f>+RER!G34</f>
        <v>2104.9711240638303</v>
      </c>
      <c r="G34" s="299">
        <v>1669.8789999999999</v>
      </c>
      <c r="H34" s="308">
        <f t="shared" si="0"/>
        <v>1830.3608779220776</v>
      </c>
      <c r="I34" s="309">
        <f t="shared" si="1"/>
        <v>1.4200878217376068E-4</v>
      </c>
      <c r="J34" s="306">
        <f t="shared" si="6"/>
        <v>-5.1023641102795935E-5</v>
      </c>
      <c r="K34" s="309">
        <f t="shared" si="7"/>
        <v>-0.10740329116598181</v>
      </c>
      <c r="L34" s="429">
        <f t="shared" si="8"/>
        <v>0.36571651570946662</v>
      </c>
      <c r="M34" s="299">
        <f t="shared" si="2"/>
        <v>3852856.794642095</v>
      </c>
      <c r="N34" s="309">
        <f t="shared" si="3"/>
        <v>0.29892438583923669</v>
      </c>
      <c r="O34" s="299">
        <f t="shared" si="4"/>
        <v>3501813.1523518297</v>
      </c>
      <c r="P34" s="428">
        <f t="shared" si="5"/>
        <v>0.2716886200769813</v>
      </c>
      <c r="Q34" s="431"/>
    </row>
    <row r="35" spans="2:17" s="304" customFormat="1">
      <c r="B35" s="416">
        <v>1991</v>
      </c>
      <c r="C35" s="299">
        <v>13339367.147406742</v>
      </c>
      <c r="D35" s="299">
        <v>1322.2727272727273</v>
      </c>
      <c r="E35" s="310">
        <v>0.96603475513428128</v>
      </c>
      <c r="F35" s="299">
        <f>+RER!G35</f>
        <v>2137.8868664877609</v>
      </c>
      <c r="G35" s="299">
        <v>1636.72</v>
      </c>
      <c r="H35" s="308">
        <f t="shared" si="0"/>
        <v>1698.4323934426229</v>
      </c>
      <c r="I35" s="309">
        <f t="shared" si="1"/>
        <v>1.2732481044071188E-4</v>
      </c>
      <c r="J35" s="306">
        <f t="shared" si="6"/>
        <v>-1.4683971733048799E-5</v>
      </c>
      <c r="K35" s="309">
        <f t="shared" si="7"/>
        <v>-3.1392670315962552E-2</v>
      </c>
      <c r="L35" s="429">
        <f t="shared" si="8"/>
        <v>0.33432384539350407</v>
      </c>
      <c r="M35" s="299">
        <f t="shared" si="2"/>
        <v>3631056.3075583572</v>
      </c>
      <c r="N35" s="309">
        <f t="shared" si="3"/>
        <v>0.27220604001924165</v>
      </c>
      <c r="O35" s="299">
        <f t="shared" si="4"/>
        <v>3249409.9745454546</v>
      </c>
      <c r="P35" s="428">
        <f t="shared" si="5"/>
        <v>0.24359551233861651</v>
      </c>
      <c r="Q35" s="431"/>
    </row>
    <row r="36" spans="2:17" s="304" customFormat="1">
      <c r="B36" s="416">
        <v>1992</v>
      </c>
      <c r="C36" s="299">
        <v>13565659.908216847</v>
      </c>
      <c r="D36" s="299">
        <v>1498.5454545454545</v>
      </c>
      <c r="E36" s="310">
        <v>0.98104265402843605</v>
      </c>
      <c r="F36" s="299">
        <f>+RER!G36</f>
        <v>2061.6388915149414</v>
      </c>
      <c r="G36" s="299">
        <v>1248.807</v>
      </c>
      <c r="H36" s="308">
        <f t="shared" si="0"/>
        <v>1292.7143597710547</v>
      </c>
      <c r="I36" s="309">
        <f t="shared" si="1"/>
        <v>9.5293142281124529E-5</v>
      </c>
      <c r="J36" s="306">
        <f t="shared" si="6"/>
        <v>-3.2031668159587356E-5</v>
      </c>
      <c r="K36" s="309">
        <f t="shared" si="7"/>
        <v>-6.6037732837906121E-2</v>
      </c>
      <c r="L36" s="429">
        <f t="shared" si="8"/>
        <v>0.26828611255559798</v>
      </c>
      <c r="M36" s="299">
        <f t="shared" si="2"/>
        <v>2665110.1997238444</v>
      </c>
      <c r="N36" s="309">
        <f t="shared" si="3"/>
        <v>0.19646004822143318</v>
      </c>
      <c r="O36" s="299">
        <f t="shared" si="4"/>
        <v>2473197.6092165313</v>
      </c>
      <c r="P36" s="428">
        <f t="shared" si="5"/>
        <v>0.18231310720966051</v>
      </c>
      <c r="Q36" s="431"/>
    </row>
    <row r="37" spans="2:17" s="304" customFormat="1">
      <c r="B37" s="416">
        <v>1993</v>
      </c>
      <c r="C37" s="299">
        <v>14235309.638271177</v>
      </c>
      <c r="D37" s="299">
        <v>1742.4545454545455</v>
      </c>
      <c r="E37" s="310">
        <v>0.98262243285939976</v>
      </c>
      <c r="F37" s="299">
        <f>+RER!G37</f>
        <v>2021.8523395404229</v>
      </c>
      <c r="G37" s="299">
        <v>1217.4939999999999</v>
      </c>
      <c r="H37" s="308">
        <f t="shared" ref="H37:H60" si="9">+(G37/E36)</f>
        <v>1241.0204541062801</v>
      </c>
      <c r="I37" s="309">
        <f t="shared" ref="I37:I57" si="10">+H37/C37</f>
        <v>8.7179027758541762E-5</v>
      </c>
      <c r="J37" s="306">
        <f t="shared" si="6"/>
        <v>-8.1141145225827662E-6</v>
      </c>
      <c r="K37" s="309">
        <f t="shared" si="7"/>
        <v>-1.6405541430782888E-2</v>
      </c>
      <c r="L37" s="429">
        <f t="shared" si="8"/>
        <v>0.2518805711248151</v>
      </c>
      <c r="M37" s="299">
        <f t="shared" ref="M37:M58" si="11">+H37*F37</f>
        <v>2509160.1085523004</v>
      </c>
      <c r="N37" s="309">
        <f t="shared" ref="N37:N60" si="12">+M37/C37</f>
        <v>0.17626312123246712</v>
      </c>
      <c r="O37" s="299">
        <f t="shared" ref="O37:O60" si="13">H37*$D$38</f>
        <v>2374297.7687878786</v>
      </c>
      <c r="P37" s="428">
        <f t="shared" ref="P37:P60" si="14">+O37/C37</f>
        <v>0.16678933083441014</v>
      </c>
      <c r="Q37" s="431"/>
    </row>
    <row r="38" spans="2:17" s="304" customFormat="1">
      <c r="B38" s="416">
        <v>1994</v>
      </c>
      <c r="C38" s="299">
        <v>14992331.683506493</v>
      </c>
      <c r="D38" s="299">
        <v>1913.1818181818182</v>
      </c>
      <c r="E38" s="310">
        <v>1</v>
      </c>
      <c r="F38" s="299">
        <f>+RER!G38</f>
        <v>1879.935372684188</v>
      </c>
      <c r="G38" s="299">
        <v>1240.2619999999999</v>
      </c>
      <c r="H38" s="308">
        <f t="shared" si="9"/>
        <v>1262.1958938906751</v>
      </c>
      <c r="I38" s="309">
        <f t="shared" si="10"/>
        <v>8.418943234021791E-5</v>
      </c>
      <c r="J38" s="306">
        <f t="shared" si="6"/>
        <v>-2.9895954183238523E-6</v>
      </c>
      <c r="K38" s="309">
        <f t="shared" si="7"/>
        <v>-5.6202461769215926E-3</v>
      </c>
      <c r="L38" s="429">
        <f t="shared" si="8"/>
        <v>0.24626032494789352</v>
      </c>
      <c r="M38" s="299">
        <f t="shared" si="11"/>
        <v>2372846.708181818</v>
      </c>
      <c r="N38" s="309">
        <f t="shared" si="12"/>
        <v>0.15827069186257778</v>
      </c>
      <c r="O38" s="299">
        <f t="shared" si="13"/>
        <v>2414810.235175387</v>
      </c>
      <c r="P38" s="428">
        <f t="shared" si="14"/>
        <v>0.16106969123635326</v>
      </c>
      <c r="Q38" s="431"/>
    </row>
    <row r="39" spans="2:17" s="304" customFormat="1">
      <c r="B39" s="416">
        <v>1995</v>
      </c>
      <c r="C39" s="299">
        <v>16015230.034361625</v>
      </c>
      <c r="D39" s="299">
        <v>1971.4545454545455</v>
      </c>
      <c r="E39" s="310">
        <v>1.0213270142180095</v>
      </c>
      <c r="F39" s="299">
        <f>+RER!G39</f>
        <v>1783.586524064171</v>
      </c>
      <c r="G39" s="299">
        <v>1406.789</v>
      </c>
      <c r="H39" s="308">
        <f t="shared" si="9"/>
        <v>1406.789</v>
      </c>
      <c r="I39" s="309">
        <f t="shared" si="10"/>
        <v>8.7840698946043904E-5</v>
      </c>
      <c r="J39" s="306">
        <f t="shared" si="6"/>
        <v>3.6512666058259943E-6</v>
      </c>
      <c r="K39" s="309">
        <f t="shared" si="7"/>
        <v>6.5123499139167693E-3</v>
      </c>
      <c r="L39" s="429">
        <f t="shared" si="8"/>
        <v>0.25277267486181026</v>
      </c>
      <c r="M39" s="299">
        <f t="shared" si="11"/>
        <v>2509129.902601711</v>
      </c>
      <c r="N39" s="309">
        <f t="shared" si="12"/>
        <v>0.15667148690454175</v>
      </c>
      <c r="O39" s="299">
        <f t="shared" si="13"/>
        <v>2691443.1368181817</v>
      </c>
      <c r="P39" s="428">
        <f t="shared" si="14"/>
        <v>0.16805522811995399</v>
      </c>
      <c r="Q39" s="431"/>
    </row>
    <row r="40" spans="2:17" s="304" customFormat="1">
      <c r="B40" s="416">
        <v>1996</v>
      </c>
      <c r="C40" s="299">
        <v>16267275.343454966</v>
      </c>
      <c r="D40" s="299">
        <v>2109</v>
      </c>
      <c r="E40" s="310">
        <v>1.0497630331753556</v>
      </c>
      <c r="F40" s="299">
        <f>+RER!G40</f>
        <v>1801.4242517956131</v>
      </c>
      <c r="G40" s="299">
        <v>1398.865</v>
      </c>
      <c r="H40" s="308">
        <f t="shared" si="9"/>
        <v>1369.654361948956</v>
      </c>
      <c r="I40" s="309">
        <f t="shared" si="10"/>
        <v>8.4196912699337052E-5</v>
      </c>
      <c r="J40" s="306">
        <f t="shared" si="6"/>
        <v>-3.6437862467068524E-6</v>
      </c>
      <c r="K40" s="309">
        <f t="shared" si="7"/>
        <v>-6.5640049131770375E-3</v>
      </c>
      <c r="L40" s="429">
        <f t="shared" si="8"/>
        <v>0.24620866994863322</v>
      </c>
      <c r="M40" s="299">
        <f t="shared" si="11"/>
        <v>2467328.5841924958</v>
      </c>
      <c r="N40" s="309">
        <f t="shared" si="12"/>
        <v>0.15167436046290381</v>
      </c>
      <c r="O40" s="299">
        <f t="shared" si="13"/>
        <v>2620397.8224741616</v>
      </c>
      <c r="P40" s="428">
        <f t="shared" si="14"/>
        <v>0.16108400252341348</v>
      </c>
      <c r="Q40" s="431"/>
    </row>
    <row r="41" spans="2:17" s="304" customFormat="1">
      <c r="B41" s="416">
        <v>1997</v>
      </c>
      <c r="C41" s="299">
        <v>16957417.11937755</v>
      </c>
      <c r="D41" s="299">
        <v>2330</v>
      </c>
      <c r="E41" s="310">
        <v>1.0379146919431281</v>
      </c>
      <c r="F41" s="299">
        <f>+RER!G41</f>
        <v>1926.1996005659055</v>
      </c>
      <c r="G41" s="299">
        <v>1444.3050000000001</v>
      </c>
      <c r="H41" s="308">
        <f t="shared" si="9"/>
        <v>1375.8390744920991</v>
      </c>
      <c r="I41" s="309">
        <f t="shared" si="10"/>
        <v>8.1134943181877787E-5</v>
      </c>
      <c r="J41" s="306">
        <f t="shared" si="6"/>
        <v>-3.0619695174592654E-6</v>
      </c>
      <c r="K41" s="309">
        <f t="shared" si="7"/>
        <v>-5.8979644614750157E-3</v>
      </c>
      <c r="L41" s="429">
        <f t="shared" si="8"/>
        <v>0.24031070548715822</v>
      </c>
      <c r="M41" s="299">
        <f t="shared" si="11"/>
        <v>2650140.6757296463</v>
      </c>
      <c r="N41" s="309">
        <f t="shared" si="12"/>
        <v>0.15628209514887043</v>
      </c>
      <c r="O41" s="299">
        <f t="shared" si="13"/>
        <v>2632230.3020623843</v>
      </c>
      <c r="P41" s="428">
        <f t="shared" si="14"/>
        <v>0.15522589811478346</v>
      </c>
      <c r="Q41" s="431"/>
    </row>
    <row r="42" spans="2:17" s="304" customFormat="1">
      <c r="B42" s="416">
        <v>1998</v>
      </c>
      <c r="C42" s="299">
        <v>16968954.565882504</v>
      </c>
      <c r="D42" s="299">
        <v>2840</v>
      </c>
      <c r="E42" s="310">
        <v>1.0371248025276463</v>
      </c>
      <c r="F42" s="299">
        <f>+RER!G42</f>
        <v>2024.800509706221</v>
      </c>
      <c r="G42" s="299">
        <v>1599.3810000000001</v>
      </c>
      <c r="H42" s="308">
        <f t="shared" si="9"/>
        <v>1540.9561232876711</v>
      </c>
      <c r="I42" s="309">
        <f t="shared" si="10"/>
        <v>9.0810315821452642E-5</v>
      </c>
      <c r="J42" s="306">
        <f t="shared" si="6"/>
        <v>9.6753726395748551E-6</v>
      </c>
      <c r="K42" s="309">
        <f t="shared" si="7"/>
        <v>1.9590699452208791E-2</v>
      </c>
      <c r="L42" s="429">
        <f t="shared" si="8"/>
        <v>0.25990140493936703</v>
      </c>
      <c r="M42" s="299">
        <f t="shared" si="11"/>
        <v>3120128.7438677987</v>
      </c>
      <c r="N42" s="309">
        <f t="shared" si="12"/>
        <v>0.18387277376186023</v>
      </c>
      <c r="O42" s="299">
        <f t="shared" si="13"/>
        <v>2948129.2376899128</v>
      </c>
      <c r="P42" s="428">
        <f t="shared" si="14"/>
        <v>0.17373664513295192</v>
      </c>
      <c r="Q42" s="431"/>
    </row>
    <row r="43" spans="2:17" s="304" customFormat="1">
      <c r="B43" s="416">
        <v>1999</v>
      </c>
      <c r="C43" s="299">
        <v>16737145.11944644</v>
      </c>
      <c r="D43" s="299">
        <v>3315</v>
      </c>
      <c r="E43" s="310">
        <v>1.0679304897314374</v>
      </c>
      <c r="F43" s="299">
        <f>+RER!G43</f>
        <v>2240.5719033657324</v>
      </c>
      <c r="G43" s="299">
        <v>2111.4670000000001</v>
      </c>
      <c r="H43" s="308">
        <f t="shared" si="9"/>
        <v>2035.8851652703729</v>
      </c>
      <c r="I43" s="309">
        <f t="shared" si="10"/>
        <v>1.2163873532439727E-4</v>
      </c>
      <c r="J43" s="306">
        <f t="shared" si="6"/>
        <v>3.0828419502944627E-5</v>
      </c>
      <c r="K43" s="309">
        <f t="shared" si="7"/>
        <v>6.9073290563469905E-2</v>
      </c>
      <c r="L43" s="429">
        <f t="shared" si="8"/>
        <v>0.32897469550283692</v>
      </c>
      <c r="M43" s="299">
        <f t="shared" si="11"/>
        <v>4561547.0997838983</v>
      </c>
      <c r="N43" s="309">
        <f t="shared" si="12"/>
        <v>0.27254033272878536</v>
      </c>
      <c r="O43" s="299">
        <f t="shared" si="13"/>
        <v>3895018.4821013636</v>
      </c>
      <c r="P43" s="428">
        <f t="shared" si="14"/>
        <v>0.23271701680926732</v>
      </c>
      <c r="Q43" s="431"/>
    </row>
    <row r="44" spans="2:17" s="304" customFormat="1">
      <c r="B44" s="416">
        <v>2000</v>
      </c>
      <c r="C44" s="299">
        <v>16349824.054186696</v>
      </c>
      <c r="D44" s="299">
        <v>3545</v>
      </c>
      <c r="E44" s="310">
        <v>1.1097946287519749</v>
      </c>
      <c r="F44" s="299">
        <f>+RER!G44</f>
        <v>2270.8975411149149</v>
      </c>
      <c r="G44" s="299">
        <v>2234.3220000000001</v>
      </c>
      <c r="H44" s="308">
        <f t="shared" si="9"/>
        <v>2092.1979674556219</v>
      </c>
      <c r="I44" s="309">
        <f t="shared" si="10"/>
        <v>1.2796455549134018E-4</v>
      </c>
      <c r="J44" s="306">
        <f t="shared" si="6"/>
        <v>6.3258201669429105E-6</v>
      </c>
      <c r="K44" s="309">
        <f t="shared" si="7"/>
        <v>1.4365289462645797E-2</v>
      </c>
      <c r="L44" s="429">
        <f t="shared" si="8"/>
        <v>0.34333998496548274</v>
      </c>
      <c r="M44" s="299">
        <f t="shared" si="11"/>
        <v>4751167.2198205944</v>
      </c>
      <c r="N44" s="309">
        <f t="shared" si="12"/>
        <v>0.29059439441514751</v>
      </c>
      <c r="O44" s="299">
        <f t="shared" si="13"/>
        <v>4002755.1113730511</v>
      </c>
      <c r="P44" s="428">
        <f t="shared" si="14"/>
        <v>0.24481946093775037</v>
      </c>
      <c r="Q44" s="431"/>
    </row>
    <row r="45" spans="2:17" s="304" customFormat="1">
      <c r="B45" s="416">
        <v>2001</v>
      </c>
      <c r="C45" s="299">
        <v>16213457.576121617</v>
      </c>
      <c r="D45" s="299">
        <v>4635</v>
      </c>
      <c r="E45" s="310">
        <v>1.0900473933649291</v>
      </c>
      <c r="F45" s="299">
        <f>+RER!G45</f>
        <v>2846.8209011731528</v>
      </c>
      <c r="G45" s="299">
        <v>2162.4070000000002</v>
      </c>
      <c r="H45" s="308">
        <f t="shared" si="9"/>
        <v>1948.4749195729537</v>
      </c>
      <c r="I45" s="309">
        <f t="shared" si="10"/>
        <v>1.2017639731839628E-4</v>
      </c>
      <c r="J45" s="306">
        <f t="shared" si="6"/>
        <v>-7.7881581729439002E-6</v>
      </c>
      <c r="K45" s="309">
        <f t="shared" si="7"/>
        <v>-2.2171491468379208E-2</v>
      </c>
      <c r="L45" s="429">
        <f t="shared" si="8"/>
        <v>0.32116849349710352</v>
      </c>
      <c r="M45" s="299">
        <f t="shared" si="11"/>
        <v>5546959.1264519626</v>
      </c>
      <c r="N45" s="309">
        <f t="shared" si="12"/>
        <v>0.34212067971369975</v>
      </c>
      <c r="O45" s="299">
        <f t="shared" si="13"/>
        <v>3727786.7893102556</v>
      </c>
      <c r="P45" s="428">
        <f t="shared" si="14"/>
        <v>0.22991929832414998</v>
      </c>
      <c r="Q45" s="431"/>
    </row>
    <row r="46" spans="2:17" s="304" customFormat="1">
      <c r="B46" s="416">
        <v>2002</v>
      </c>
      <c r="C46" s="299">
        <v>16209987.183112355</v>
      </c>
      <c r="D46" s="299">
        <v>7000</v>
      </c>
      <c r="E46" s="310">
        <v>1.10347551342812</v>
      </c>
      <c r="F46" s="299">
        <f>+RER!G46</f>
        <v>3683.4432633291985</v>
      </c>
      <c r="G46" s="299">
        <v>2283.0509999999999</v>
      </c>
      <c r="H46" s="308">
        <f t="shared" si="9"/>
        <v>2094.4511347826083</v>
      </c>
      <c r="I46" s="309">
        <f t="shared" si="10"/>
        <v>1.2920745162368899E-4</v>
      </c>
      <c r="J46" s="306">
        <f t="shared" si="6"/>
        <v>9.0310543052927138E-6</v>
      </c>
      <c r="K46" s="309">
        <f t="shared" si="7"/>
        <v>3.32653761415906E-2</v>
      </c>
      <c r="L46" s="429">
        <f t="shared" si="8"/>
        <v>0.35443386963869411</v>
      </c>
      <c r="M46" s="299">
        <f t="shared" si="11"/>
        <v>7714791.9227871941</v>
      </c>
      <c r="N46" s="309">
        <f t="shared" si="12"/>
        <v>0.47592831725521056</v>
      </c>
      <c r="O46" s="299">
        <f t="shared" si="13"/>
        <v>4007065.8301363629</v>
      </c>
      <c r="P46" s="428">
        <f t="shared" si="14"/>
        <v>0.24719734722004863</v>
      </c>
      <c r="Q46" s="431"/>
    </row>
    <row r="47" spans="2:17" s="304" customFormat="1">
      <c r="B47" s="416">
        <v>2003</v>
      </c>
      <c r="C47" s="299">
        <v>16910379.472739432</v>
      </c>
      <c r="D47" s="299">
        <v>6070</v>
      </c>
      <c r="E47" s="310">
        <v>1.1461295418641391</v>
      </c>
      <c r="F47" s="299">
        <f>+RER!G47</f>
        <v>2957.7008933937304</v>
      </c>
      <c r="G47" s="299">
        <v>2477.5729999999999</v>
      </c>
      <c r="H47" s="308">
        <f t="shared" si="9"/>
        <v>2245.245109520401</v>
      </c>
      <c r="I47" s="309">
        <f t="shared" si="10"/>
        <v>1.3277319489724484E-4</v>
      </c>
      <c r="J47" s="306">
        <f t="shared" si="6"/>
        <v>3.5657432735558461E-6</v>
      </c>
      <c r="K47" s="309">
        <f t="shared" si="7"/>
        <v>1.0546402065808811E-2</v>
      </c>
      <c r="L47" s="429">
        <f t="shared" si="8"/>
        <v>0.36498027170450292</v>
      </c>
      <c r="M47" s="299">
        <f t="shared" si="11"/>
        <v>6640763.4663163945</v>
      </c>
      <c r="N47" s="309">
        <f t="shared" si="12"/>
        <v>0.39270339716632097</v>
      </c>
      <c r="O47" s="299">
        <f t="shared" si="13"/>
        <v>4295562.1208960768</v>
      </c>
      <c r="P47" s="428">
        <f t="shared" si="14"/>
        <v>0.25401926241931982</v>
      </c>
      <c r="Q47" s="431"/>
    </row>
    <row r="48" spans="2:17" s="304" customFormat="1">
      <c r="B48" s="416">
        <v>2004</v>
      </c>
      <c r="C48" s="299">
        <v>17596504.314825632</v>
      </c>
      <c r="D48" s="299">
        <v>6240</v>
      </c>
      <c r="E48" s="310">
        <v>1.1958925750394946</v>
      </c>
      <c r="F48" s="299">
        <f>+RER!G48</f>
        <v>3071.6399745364888</v>
      </c>
      <c r="G48" s="299">
        <v>2390.6869999999999</v>
      </c>
      <c r="H48" s="308">
        <f t="shared" si="9"/>
        <v>2085.878526533425</v>
      </c>
      <c r="I48" s="309">
        <f t="shared" si="10"/>
        <v>1.1853936948010771E-4</v>
      </c>
      <c r="J48" s="306">
        <f t="shared" si="6"/>
        <v>-1.4233825417137131E-5</v>
      </c>
      <c r="K48" s="309">
        <f t="shared" si="7"/>
        <v>-4.3721187141851921E-2</v>
      </c>
      <c r="L48" s="429">
        <f t="shared" si="8"/>
        <v>0.32125908456265101</v>
      </c>
      <c r="M48" s="299">
        <f t="shared" si="11"/>
        <v>6407067.8641273379</v>
      </c>
      <c r="N48" s="309">
        <f t="shared" si="12"/>
        <v>0.36411026585144945</v>
      </c>
      <c r="O48" s="299">
        <f t="shared" si="13"/>
        <v>3990664.8718996299</v>
      </c>
      <c r="P48" s="428">
        <f t="shared" si="14"/>
        <v>0.22678736642807878</v>
      </c>
      <c r="Q48" s="431"/>
    </row>
    <row r="49" spans="2:23" s="304" customFormat="1">
      <c r="B49" s="416">
        <v>2005</v>
      </c>
      <c r="C49" s="299">
        <v>17971924.091679085</v>
      </c>
      <c r="D49" s="299">
        <v>6100</v>
      </c>
      <c r="E49" s="310">
        <v>1.2606635071090047</v>
      </c>
      <c r="F49" s="299">
        <f>+RER!G49</f>
        <v>2851.96364018951</v>
      </c>
      <c r="G49" s="299">
        <v>2271.1390000000001</v>
      </c>
      <c r="H49" s="308">
        <f t="shared" si="9"/>
        <v>1899.1162311756934</v>
      </c>
      <c r="I49" s="309">
        <f t="shared" si="10"/>
        <v>1.0567128046434245E-4</v>
      </c>
      <c r="J49" s="306">
        <f t="shared" si="6"/>
        <v>-1.2868089015765258E-5</v>
      </c>
      <c r="K49" s="309">
        <f t="shared" si="7"/>
        <v>-3.6699321991684533E-2</v>
      </c>
      <c r="L49" s="429">
        <f t="shared" si="8"/>
        <v>0.28455976257096649</v>
      </c>
      <c r="M49" s="299">
        <f t="shared" si="11"/>
        <v>5416210.4398068134</v>
      </c>
      <c r="N49" s="309">
        <f t="shared" si="12"/>
        <v>0.30137064969657273</v>
      </c>
      <c r="O49" s="299">
        <f t="shared" si="13"/>
        <v>3633354.6440993156</v>
      </c>
      <c r="P49" s="428">
        <f t="shared" si="14"/>
        <v>0.20216837248837155</v>
      </c>
      <c r="Q49" s="431"/>
    </row>
    <row r="50" spans="2:23" s="304" customFormat="1">
      <c r="B50" s="416">
        <v>2006</v>
      </c>
      <c r="C50" s="299">
        <v>18835855.544550456</v>
      </c>
      <c r="D50" s="299">
        <v>5170</v>
      </c>
      <c r="E50" s="310">
        <v>1.2725118483412323</v>
      </c>
      <c r="F50" s="299">
        <f>+RER!G50</f>
        <v>2265.3368249123087</v>
      </c>
      <c r="G50" s="299">
        <v>2230.0569999999998</v>
      </c>
      <c r="H50" s="308">
        <f t="shared" si="9"/>
        <v>1768.9549887218045</v>
      </c>
      <c r="I50" s="309">
        <f t="shared" si="10"/>
        <v>9.391423631052396E-5</v>
      </c>
      <c r="J50" s="306">
        <f t="shared" si="6"/>
        <v>-1.1757044153818489E-5</v>
      </c>
      <c r="K50" s="309">
        <f t="shared" si="7"/>
        <v>-2.6633665073764998E-2</v>
      </c>
      <c r="L50" s="429">
        <f t="shared" si="8"/>
        <v>0.25792609749720147</v>
      </c>
      <c r="M50" s="299">
        <f t="shared" si="11"/>
        <v>4007278.8775638412</v>
      </c>
      <c r="N50" s="309">
        <f t="shared" si="12"/>
        <v>0.21274737789774659</v>
      </c>
      <c r="O50" s="299">
        <f t="shared" si="13"/>
        <v>3384332.5216045799</v>
      </c>
      <c r="P50" s="428">
        <f t="shared" si="14"/>
        <v>0.17967500937772518</v>
      </c>
      <c r="Q50" s="431"/>
    </row>
    <row r="51" spans="2:23" s="304" customFormat="1">
      <c r="B51" s="416">
        <v>2007</v>
      </c>
      <c r="C51" s="299">
        <v>19857064.596928742</v>
      </c>
      <c r="D51" s="299">
        <v>4850</v>
      </c>
      <c r="E51" s="310">
        <v>1.3562401263823065</v>
      </c>
      <c r="F51" s="299">
        <f>+RER!G51</f>
        <v>2024.3223779764887</v>
      </c>
      <c r="G51" s="299">
        <v>2205.33</v>
      </c>
      <c r="H51" s="308">
        <f t="shared" si="9"/>
        <v>1733.0526256983239</v>
      </c>
      <c r="I51" s="309">
        <f t="shared" si="10"/>
        <v>8.7276375480310021E-5</v>
      </c>
      <c r="J51" s="306">
        <f t="shared" si="6"/>
        <v>-6.6378608302139394E-6</v>
      </c>
      <c r="K51" s="309">
        <f t="shared" si="7"/>
        <v>-1.3437170220495672E-2</v>
      </c>
      <c r="L51" s="429">
        <f t="shared" si="8"/>
        <v>0.24448892727670579</v>
      </c>
      <c r="M51" s="299">
        <f t="shared" si="11"/>
        <v>3508257.2124120286</v>
      </c>
      <c r="N51" s="309">
        <f t="shared" si="12"/>
        <v>0.17667551995347008</v>
      </c>
      <c r="O51" s="299">
        <f t="shared" si="13"/>
        <v>3315644.7734382935</v>
      </c>
      <c r="P51" s="428">
        <f t="shared" si="14"/>
        <v>0.1669755747257386</v>
      </c>
      <c r="Q51" s="431"/>
    </row>
    <row r="52" spans="2:23" s="304" customFormat="1">
      <c r="B52" s="416">
        <v>2008</v>
      </c>
      <c r="C52" s="299">
        <v>21119799.320640549</v>
      </c>
      <c r="D52" s="299">
        <v>4930</v>
      </c>
      <c r="E52" s="310">
        <v>1.3404423380726698</v>
      </c>
      <c r="F52" s="299">
        <f>+RER!G52</f>
        <v>2040.0985502682911</v>
      </c>
      <c r="G52" s="299">
        <v>2234.1979999999999</v>
      </c>
      <c r="H52" s="308">
        <f t="shared" si="9"/>
        <v>1647.346923704135</v>
      </c>
      <c r="I52" s="309">
        <f t="shared" si="10"/>
        <v>7.8000122003724233E-5</v>
      </c>
      <c r="J52" s="306">
        <f t="shared" si="6"/>
        <v>-9.2762534765857875E-6</v>
      </c>
      <c r="K52" s="309">
        <f t="shared" si="7"/>
        <v>-1.8924471269503858E-2</v>
      </c>
      <c r="L52" s="429">
        <f t="shared" si="8"/>
        <v>0.22556445600720193</v>
      </c>
      <c r="M52" s="299">
        <f t="shared" si="11"/>
        <v>3360750.0708377347</v>
      </c>
      <c r="N52" s="309">
        <f t="shared" si="12"/>
        <v>0.15912793582054763</v>
      </c>
      <c r="O52" s="299">
        <f t="shared" si="13"/>
        <v>3151674.182668502</v>
      </c>
      <c r="P52" s="428">
        <f t="shared" si="14"/>
        <v>0.14922841523348879</v>
      </c>
      <c r="Q52" s="431"/>
    </row>
    <row r="53" spans="2:23" s="304" customFormat="1">
      <c r="B53" s="416">
        <v>2009</v>
      </c>
      <c r="C53" s="299">
        <v>20282252.396957401</v>
      </c>
      <c r="D53" s="299">
        <v>4600</v>
      </c>
      <c r="E53" s="310">
        <v>1.3988941548183254</v>
      </c>
      <c r="F53" s="299">
        <f>+RER!G53</f>
        <v>1847.0044928617597</v>
      </c>
      <c r="G53" s="299">
        <v>2236.8530000000001</v>
      </c>
      <c r="H53" s="308">
        <f t="shared" si="9"/>
        <v>1668.7424266352389</v>
      </c>
      <c r="I53" s="309">
        <f t="shared" si="10"/>
        <v>8.2275991540543676E-5</v>
      </c>
      <c r="J53" s="306">
        <f t="shared" si="6"/>
        <v>4.2758695368194422E-6</v>
      </c>
      <c r="K53" s="309">
        <f t="shared" si="7"/>
        <v>7.8975502453962412E-3</v>
      </c>
      <c r="L53" s="429">
        <f t="shared" si="8"/>
        <v>0.23346200625259816</v>
      </c>
      <c r="M53" s="299">
        <f t="shared" si="11"/>
        <v>3082174.7594243214</v>
      </c>
      <c r="N53" s="309">
        <f t="shared" si="12"/>
        <v>0.15196412603004028</v>
      </c>
      <c r="O53" s="299">
        <f t="shared" si="13"/>
        <v>3192607.6698671458</v>
      </c>
      <c r="P53" s="428">
        <f t="shared" si="14"/>
        <v>0.15740893108824924</v>
      </c>
      <c r="Q53" s="431"/>
    </row>
    <row r="54" spans="2:23" s="304" customFormat="1">
      <c r="B54" s="416">
        <v>2010</v>
      </c>
      <c r="C54" s="299">
        <v>22937808.012133818</v>
      </c>
      <c r="D54" s="299">
        <v>4558</v>
      </c>
      <c r="E54" s="310">
        <v>1.4533965244865719</v>
      </c>
      <c r="F54" s="299">
        <f>+RER!G54</f>
        <v>1781.423520792991</v>
      </c>
      <c r="G54" s="299">
        <v>2335.4250000000002</v>
      </c>
      <c r="H54" s="308">
        <f t="shared" si="9"/>
        <v>1669.4794184076795</v>
      </c>
      <c r="I54" s="309">
        <f t="shared" si="10"/>
        <v>7.2782866502524798E-5</v>
      </c>
      <c r="J54" s="306">
        <f t="shared" si="6"/>
        <v>-9.493125038018878E-6</v>
      </c>
      <c r="K54" s="309">
        <f t="shared" si="7"/>
        <v>-1.6911276228555688E-2</v>
      </c>
      <c r="L54" s="429">
        <f t="shared" si="8"/>
        <v>0.21655073002404249</v>
      </c>
      <c r="M54" s="299">
        <f t="shared" si="11"/>
        <v>2974049.9034312433</v>
      </c>
      <c r="N54" s="309">
        <f t="shared" si="12"/>
        <v>0.12965711029833399</v>
      </c>
      <c r="O54" s="299">
        <f t="shared" si="13"/>
        <v>3194017.669126329</v>
      </c>
      <c r="P54" s="428">
        <f t="shared" si="14"/>
        <v>0.13924685686778496</v>
      </c>
      <c r="Q54" s="431"/>
      <c r="W54" s="426"/>
    </row>
    <row r="55" spans="2:23" s="304" customFormat="1">
      <c r="B55" s="416">
        <v>2011</v>
      </c>
      <c r="C55" s="299">
        <v>23933861.037312727</v>
      </c>
      <c r="D55" s="299">
        <v>4478</v>
      </c>
      <c r="E55" s="310">
        <v>1.5221169036334914</v>
      </c>
      <c r="F55" s="299">
        <f>+RER!G55</f>
        <v>1732.7407993371194</v>
      </c>
      <c r="G55" s="299">
        <v>2284.723</v>
      </c>
      <c r="H55" s="308">
        <f t="shared" si="9"/>
        <v>1571.9887597826087</v>
      </c>
      <c r="I55" s="309">
        <f t="shared" si="10"/>
        <v>6.5680533422162379E-5</v>
      </c>
      <c r="J55" s="306">
        <f t="shared" si="6"/>
        <v>-7.1023330803624186E-6</v>
      </c>
      <c r="K55" s="309">
        <f t="shared" si="7"/>
        <v>-1.2306502298825642E-2</v>
      </c>
      <c r="L55" s="429">
        <f t="shared" si="8"/>
        <v>0.20424422772521683</v>
      </c>
      <c r="M55" s="299">
        <f t="shared" si="11"/>
        <v>2723849.060174684</v>
      </c>
      <c r="N55" s="309">
        <f t="shared" si="12"/>
        <v>0.11380733998280602</v>
      </c>
      <c r="O55" s="299">
        <f t="shared" si="13"/>
        <v>3007500.3136022729</v>
      </c>
      <c r="P55" s="428">
        <f t="shared" si="14"/>
        <v>0.12565880235176433</v>
      </c>
      <c r="Q55" s="431"/>
    </row>
    <row r="56" spans="2:23" s="304" customFormat="1">
      <c r="B56" s="416">
        <v>2012</v>
      </c>
      <c r="C56" s="299">
        <v>23637328.194770973</v>
      </c>
      <c r="D56" s="299">
        <v>4224</v>
      </c>
      <c r="E56" s="310">
        <v>1.5426540284360193</v>
      </c>
      <c r="F56" s="299">
        <f>+RER!G56</f>
        <v>1646.2617643095832</v>
      </c>
      <c r="G56" s="299">
        <v>2241.06</v>
      </c>
      <c r="H56" s="308">
        <f t="shared" si="9"/>
        <v>1472.3310638297871</v>
      </c>
      <c r="I56" s="309">
        <f t="shared" si="10"/>
        <v>6.2288387744072307E-5</v>
      </c>
      <c r="J56" s="306">
        <f t="shared" si="6"/>
        <v>-3.3921456780900718E-6</v>
      </c>
      <c r="K56" s="309">
        <f t="shared" si="7"/>
        <v>-5.5843597288076892E-3</v>
      </c>
      <c r="L56" s="429">
        <f t="shared" si="8"/>
        <v>0.19865986799640914</v>
      </c>
      <c r="M56" s="299">
        <f t="shared" si="11"/>
        <v>2423842.3347882307</v>
      </c>
      <c r="N56" s="309">
        <f t="shared" si="12"/>
        <v>0.10254299110355589</v>
      </c>
      <c r="O56" s="299">
        <f t="shared" si="13"/>
        <v>2816837.0216634427</v>
      </c>
      <c r="P56" s="428">
        <f t="shared" si="14"/>
        <v>0.11916901091581834</v>
      </c>
      <c r="Q56" s="431"/>
    </row>
    <row r="57" spans="2:23" s="304" customFormat="1">
      <c r="B57" s="416">
        <v>2013</v>
      </c>
      <c r="C57" s="299">
        <v>26955128.992666699</v>
      </c>
      <c r="D57" s="299">
        <v>4585</v>
      </c>
      <c r="E57" s="310">
        <v>1.566350710900474</v>
      </c>
      <c r="F57" s="299">
        <f>+RER!G57</f>
        <v>1745.657342207204</v>
      </c>
      <c r="G57" s="299">
        <v>2676.9250000000002</v>
      </c>
      <c r="H57" s="308">
        <f t="shared" si="9"/>
        <v>1735.2724270353301</v>
      </c>
      <c r="I57" s="309">
        <f t="shared" si="10"/>
        <v>6.4376335483589078E-5</v>
      </c>
      <c r="J57" s="306">
        <f t="shared" si="6"/>
        <v>2.087947739516771E-6</v>
      </c>
      <c r="K57" s="309">
        <f t="shared" si="7"/>
        <v>3.644841301632386E-3</v>
      </c>
      <c r="L57" s="429">
        <f t="shared" si="8"/>
        <v>0.20230470929804154</v>
      </c>
      <c r="M57" s="299">
        <f t="shared" si="11"/>
        <v>3029191.0529839387</v>
      </c>
      <c r="N57" s="309">
        <f t="shared" si="12"/>
        <v>0.11237902270132144</v>
      </c>
      <c r="O57" s="299">
        <f t="shared" si="13"/>
        <v>3319891.6569962292</v>
      </c>
      <c r="P57" s="428">
        <f t="shared" si="14"/>
        <v>0.12316363456837566</v>
      </c>
      <c r="Q57" s="431"/>
    </row>
    <row r="58" spans="2:23">
      <c r="B58" s="416">
        <v>2014</v>
      </c>
      <c r="C58" s="299">
        <v>28228040.145098101</v>
      </c>
      <c r="D58" s="299">
        <v>4629</v>
      </c>
      <c r="E58" s="310">
        <v>1.5545023696682465</v>
      </c>
      <c r="F58" s="299">
        <f>+RER!G58</f>
        <v>1717.1274014667181</v>
      </c>
      <c r="G58" s="299">
        <v>3679</v>
      </c>
      <c r="H58" s="308">
        <f t="shared" si="9"/>
        <v>2348.7715582450833</v>
      </c>
      <c r="I58" s="309">
        <f t="shared" ref="I58:I60" si="15">+H58/C58</f>
        <v>8.3207036201305521E-5</v>
      </c>
      <c r="J58" s="306">
        <f t="shared" si="6"/>
        <v>1.8830700717716443E-5</v>
      </c>
      <c r="K58" s="309">
        <f t="shared" si="7"/>
        <v>3.2334712191209897E-2</v>
      </c>
      <c r="L58" s="429">
        <f t="shared" si="8"/>
        <v>0.23463942148925143</v>
      </c>
      <c r="M58" s="299">
        <f t="shared" si="11"/>
        <v>4033140.0024483143</v>
      </c>
      <c r="N58" s="309">
        <f t="shared" si="12"/>
        <v>0.14287708185609491</v>
      </c>
      <c r="O58" s="299">
        <f t="shared" si="13"/>
        <v>4493627.0402970705</v>
      </c>
      <c r="P58" s="428">
        <f t="shared" si="14"/>
        <v>0.15919018880513405</v>
      </c>
      <c r="Q58" s="431"/>
      <c r="R58" s="304"/>
    </row>
    <row r="59" spans="2:23">
      <c r="B59" s="416">
        <v>2015</v>
      </c>
      <c r="C59" s="299">
        <v>29064221.400209699</v>
      </c>
      <c r="D59" s="299">
        <v>5806.91</v>
      </c>
      <c r="E59" s="310">
        <v>1.5102685624012637</v>
      </c>
      <c r="F59" s="299">
        <f>+RER!G59</f>
        <v>2073.406132697849</v>
      </c>
      <c r="G59" s="299">
        <v>3993</v>
      </c>
      <c r="H59" s="308">
        <f t="shared" si="9"/>
        <v>2568.667682926829</v>
      </c>
      <c r="I59" s="309">
        <f t="shared" si="15"/>
        <v>8.8379029582684638E-5</v>
      </c>
      <c r="J59" s="306">
        <f t="shared" si="6"/>
        <v>5.1719933813791169E-6</v>
      </c>
      <c r="K59" s="309">
        <f t="shared" si="7"/>
        <v>1.0723642795224145E-2</v>
      </c>
      <c r="L59" s="429">
        <f t="shared" si="8"/>
        <v>0.24536306428447557</v>
      </c>
      <c r="M59" s="299">
        <f t="shared" ref="M59:M60" si="16">+H59*F59</f>
        <v>5325891.3266432611</v>
      </c>
      <c r="N59" s="309">
        <f t="shared" si="12"/>
        <v>0.18324562193862295</v>
      </c>
      <c r="O59" s="299">
        <f t="shared" si="13"/>
        <v>4914328.307926829</v>
      </c>
      <c r="P59" s="428">
        <f t="shared" si="14"/>
        <v>0.16908515250614531</v>
      </c>
      <c r="Q59" s="304"/>
      <c r="R59" s="304"/>
    </row>
    <row r="60" spans="2:23">
      <c r="B60" s="416">
        <v>2016</v>
      </c>
      <c r="C60" s="299">
        <v>30232473.750384901</v>
      </c>
      <c r="D60" s="299">
        <v>5766.93</v>
      </c>
      <c r="E60" s="310">
        <v>1.5387045813586098</v>
      </c>
      <c r="F60" s="299">
        <f>+RER!G60</f>
        <v>1925.0457884621151</v>
      </c>
      <c r="G60" s="299">
        <v>4822</v>
      </c>
      <c r="H60" s="308">
        <f t="shared" si="9"/>
        <v>3192.8096234309623</v>
      </c>
      <c r="I60" s="309">
        <f t="shared" si="15"/>
        <v>1.0560861310233714E-4</v>
      </c>
      <c r="J60" s="306">
        <f t="shared" si="6"/>
        <v>1.7229583519652499E-5</v>
      </c>
      <c r="K60" s="309">
        <f t="shared" si="7"/>
        <v>3.3167737191463306E-2</v>
      </c>
      <c r="L60" s="429">
        <f t="shared" si="8"/>
        <v>0.27853080147593889</v>
      </c>
      <c r="M60" s="299">
        <f t="shared" si="16"/>
        <v>6146304.7189470856</v>
      </c>
      <c r="N60" s="309">
        <f t="shared" si="12"/>
        <v>0.20330141587797904</v>
      </c>
      <c r="O60" s="299">
        <f t="shared" si="13"/>
        <v>6108425.3204640551</v>
      </c>
      <c r="P60" s="428">
        <f t="shared" si="14"/>
        <v>0.20204847843078955</v>
      </c>
      <c r="Q60" s="304"/>
      <c r="R60" s="304"/>
    </row>
    <row r="61" spans="2:23">
      <c r="B61" s="297"/>
      <c r="C61" s="304"/>
      <c r="D61" s="304"/>
      <c r="E61" s="304"/>
      <c r="F61" s="304"/>
      <c r="G61" s="304"/>
      <c r="H61" s="304"/>
      <c r="I61" s="304"/>
      <c r="J61" s="304"/>
      <c r="K61" s="304"/>
      <c r="L61" s="304"/>
      <c r="M61" s="304"/>
      <c r="N61" s="304"/>
      <c r="O61" s="304"/>
      <c r="P61" s="304"/>
      <c r="Q61" s="304"/>
      <c r="R61" s="304"/>
    </row>
    <row r="62" spans="2:23">
      <c r="B62" s="297"/>
      <c r="C62" s="304"/>
      <c r="D62" s="304"/>
      <c r="E62" s="304"/>
      <c r="F62" s="304"/>
      <c r="G62" s="304"/>
      <c r="H62" s="304"/>
      <c r="I62" s="304"/>
      <c r="J62" s="304"/>
      <c r="K62" s="304"/>
      <c r="L62" s="304"/>
      <c r="M62" s="304"/>
      <c r="N62" s="304"/>
      <c r="O62" s="304"/>
      <c r="P62" s="304"/>
      <c r="Q62" s="304"/>
      <c r="R62" s="304"/>
    </row>
    <row r="63" spans="2:23">
      <c r="B63" s="297"/>
      <c r="C63" s="304"/>
      <c r="D63" s="304"/>
      <c r="E63" s="304"/>
      <c r="F63" s="304"/>
      <c r="G63" s="304"/>
      <c r="H63" s="304"/>
      <c r="I63" s="304"/>
      <c r="J63" s="304"/>
      <c r="K63" s="304"/>
      <c r="L63" s="304"/>
      <c r="M63" s="304"/>
      <c r="N63" s="304"/>
      <c r="O63" s="304"/>
      <c r="P63" s="304"/>
      <c r="Q63" s="304"/>
      <c r="R63" s="304"/>
    </row>
    <row r="64" spans="2:23">
      <c r="B64" s="297"/>
      <c r="C64" s="304"/>
      <c r="D64" s="304"/>
      <c r="E64" s="304"/>
      <c r="F64" s="304"/>
      <c r="G64" s="304"/>
      <c r="H64" s="304"/>
      <c r="I64" s="304"/>
      <c r="J64" s="304"/>
      <c r="K64" s="304"/>
      <c r="L64" s="304"/>
      <c r="M64" s="304"/>
      <c r="N64" s="304"/>
      <c r="O64" s="304"/>
      <c r="P64" s="304"/>
      <c r="Q64" s="304"/>
      <c r="R64" s="304"/>
    </row>
    <row r="65" spans="2:18">
      <c r="B65" s="297"/>
      <c r="C65" s="304"/>
      <c r="D65" s="304"/>
      <c r="E65" s="304"/>
      <c r="F65" s="304"/>
      <c r="G65" s="304"/>
      <c r="H65" s="304"/>
      <c r="I65" s="304"/>
      <c r="J65" s="304"/>
      <c r="K65" s="304"/>
      <c r="L65" s="304"/>
      <c r="M65" s="304"/>
      <c r="N65" s="304"/>
      <c r="O65" s="304"/>
      <c r="P65" s="304"/>
      <c r="Q65" s="304"/>
      <c r="R65" s="304"/>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workbookViewId="0"/>
  </sheetViews>
  <sheetFormatPr defaultColWidth="9.109375" defaultRowHeight="14.4"/>
  <cols>
    <col min="1" max="16384" width="9.109375" style="236"/>
  </cols>
  <sheetData>
    <row r="1" spans="1:3">
      <c r="A1" s="236" t="s">
        <v>607</v>
      </c>
      <c r="B1" s="236" t="s">
        <v>1334</v>
      </c>
    </row>
    <row r="3" spans="1:3">
      <c r="B3" s="236" t="s">
        <v>1335</v>
      </c>
      <c r="C3" s="236" t="s">
        <v>1336</v>
      </c>
    </row>
    <row r="4" spans="1:3">
      <c r="A4" s="236" t="s">
        <v>297</v>
      </c>
      <c r="B4" s="432">
        <f>+Debt!L6*100</f>
        <v>9.3847716350910613</v>
      </c>
      <c r="C4" s="432">
        <f>+Debt!P6*100</f>
        <v>8.5791516452142407</v>
      </c>
    </row>
    <row r="5" spans="1:3">
      <c r="A5" s="236" t="s">
        <v>298</v>
      </c>
      <c r="B5" s="432">
        <f>+Debt!L7*100</f>
        <v>9.0668195736650947</v>
      </c>
      <c r="C5" s="432">
        <f>+Debt!P7*100</f>
        <v>8.2770558203182301</v>
      </c>
    </row>
    <row r="6" spans="1:3">
      <c r="A6" s="236" t="s">
        <v>299</v>
      </c>
      <c r="B6" s="432">
        <f>+Debt!L8*100</f>
        <v>9.9614883675325885</v>
      </c>
      <c r="C6" s="432">
        <f>+Debt!P8*100</f>
        <v>9.0607090589936359</v>
      </c>
    </row>
    <row r="7" spans="1:3">
      <c r="A7" s="236" t="s">
        <v>300</v>
      </c>
      <c r="B7" s="432">
        <f>+Debt!L9*100</f>
        <v>11.630089418196556</v>
      </c>
      <c r="C7" s="432">
        <f>+Debt!P9*100</f>
        <v>10.586428453141513</v>
      </c>
    </row>
    <row r="8" spans="1:3">
      <c r="A8" s="236" t="s">
        <v>301</v>
      </c>
      <c r="B8" s="432">
        <f>+Debt!L10*100</f>
        <v>13.601668226867226</v>
      </c>
      <c r="C8" s="432">
        <f>+Debt!P10*100</f>
        <v>12.495778021898989</v>
      </c>
    </row>
    <row r="9" spans="1:3">
      <c r="A9" s="236" t="s">
        <v>302</v>
      </c>
      <c r="B9" s="432">
        <f>+Debt!L11*100</f>
        <v>18.245010315352364</v>
      </c>
      <c r="C9" s="432">
        <f>+Debt!P11*100</f>
        <v>16.782141078915227</v>
      </c>
    </row>
    <row r="10" spans="1:3">
      <c r="A10" s="236" t="s">
        <v>303</v>
      </c>
      <c r="B10" s="432">
        <f>+Debt!L12*100</f>
        <v>21.804111744833019</v>
      </c>
      <c r="C10" s="432">
        <f>+Debt!P12*100</f>
        <v>20.228372800591252</v>
      </c>
    </row>
    <row r="11" spans="1:3">
      <c r="A11" s="236" t="s">
        <v>304</v>
      </c>
      <c r="B11" s="432">
        <f>+Debt!L13*100</f>
        <v>24.476717716631573</v>
      </c>
      <c r="C11" s="432">
        <f>+Debt!P13*100</f>
        <v>22.742266652484759</v>
      </c>
    </row>
    <row r="12" spans="1:3">
      <c r="A12" s="236" t="s">
        <v>305</v>
      </c>
      <c r="B12" s="432">
        <f>+Debt!L14*100</f>
        <v>26.893021197329603</v>
      </c>
      <c r="C12" s="432">
        <f>+Debt!P14*100</f>
        <v>24.891586975268449</v>
      </c>
    </row>
    <row r="13" spans="1:3">
      <c r="A13" s="236" t="s">
        <v>306</v>
      </c>
      <c r="B13" s="432">
        <f>+Debt!L15*100</f>
        <v>28.084226888792248</v>
      </c>
      <c r="C13" s="432">
        <f>+Debt!P15*100</f>
        <v>25.990631479298816</v>
      </c>
    </row>
    <row r="14" spans="1:3">
      <c r="A14" s="236" t="s">
        <v>307</v>
      </c>
      <c r="B14" s="432">
        <f>+Debt!L16*100</f>
        <v>27.934105334151866</v>
      </c>
      <c r="C14" s="432">
        <f>+Debt!P16*100</f>
        <v>25.842841918058706</v>
      </c>
    </row>
    <row r="15" spans="1:3">
      <c r="A15" s="236" t="s">
        <v>308</v>
      </c>
      <c r="B15" s="432">
        <f>+Debt!L17*100</f>
        <v>27.115955960292411</v>
      </c>
      <c r="C15" s="432">
        <f>+Debt!P17*100</f>
        <v>24.965087606767781</v>
      </c>
    </row>
    <row r="16" spans="1:3">
      <c r="A16" s="236" t="s">
        <v>309</v>
      </c>
      <c r="B16" s="432">
        <f>+Debt!L18*100</f>
        <v>26.186532923595468</v>
      </c>
      <c r="C16" s="432">
        <f>+Debt!P18*100</f>
        <v>23.883062893248617</v>
      </c>
    </row>
    <row r="17" spans="1:3">
      <c r="A17" s="236" t="s">
        <v>310</v>
      </c>
      <c r="B17" s="432">
        <f>+Debt!L19*100</f>
        <v>24.703504915094637</v>
      </c>
      <c r="C17" s="432">
        <f>+Debt!P19*100</f>
        <v>22.333041357649918</v>
      </c>
    </row>
    <row r="18" spans="1:3">
      <c r="A18" s="236" t="s">
        <v>612</v>
      </c>
      <c r="B18" s="432">
        <f>+Debt!L20*100</f>
        <v>30.200804003617964</v>
      </c>
      <c r="C18" s="432">
        <f>+Debt!P20*100</f>
        <v>27.950690417255519</v>
      </c>
    </row>
    <row r="19" spans="1:3">
      <c r="A19" s="236" t="s">
        <v>613</v>
      </c>
      <c r="B19" s="432">
        <f>+Debt!L21*100</f>
        <v>29.519315611366054</v>
      </c>
      <c r="C19" s="432">
        <f>+Debt!P21*100</f>
        <v>27.18769255010659</v>
      </c>
    </row>
    <row r="20" spans="1:3">
      <c r="A20" s="236" t="s">
        <v>614</v>
      </c>
      <c r="B20" s="432">
        <f>+Debt!L22*100</f>
        <v>31.532574489105571</v>
      </c>
      <c r="C20" s="432">
        <f>+Debt!P22*100</f>
        <v>29.541521137580816</v>
      </c>
    </row>
    <row r="21" spans="1:3">
      <c r="A21" s="236" t="s">
        <v>615</v>
      </c>
      <c r="B21" s="432">
        <f>+Debt!L23*100</f>
        <v>28.224170440392975</v>
      </c>
      <c r="C21" s="432">
        <f>+Debt!P23*100</f>
        <v>24.722161428143259</v>
      </c>
    </row>
    <row r="22" spans="1:3">
      <c r="A22" s="236" t="s">
        <v>616</v>
      </c>
      <c r="B22" s="432">
        <f>+Debt!L24*100</f>
        <v>27.475028539823143</v>
      </c>
      <c r="C22" s="432">
        <f>+Debt!P24*100</f>
        <v>23.583575709969665</v>
      </c>
    </row>
    <row r="23" spans="1:3">
      <c r="A23" s="236" t="s">
        <v>617</v>
      </c>
      <c r="B23" s="432">
        <f>+Debt!L25*100</f>
        <v>24.781414519165835</v>
      </c>
      <c r="C23" s="432">
        <f>+Debt!P25*100</f>
        <v>19.990842118136992</v>
      </c>
    </row>
    <row r="24" spans="1:3">
      <c r="A24" s="236" t="s">
        <v>618</v>
      </c>
      <c r="B24" s="432">
        <f>+Debt!L26*100</f>
        <v>29.828260425093234</v>
      </c>
      <c r="C24" s="432">
        <f>+Debt!P26*100</f>
        <v>24.972845151780447</v>
      </c>
    </row>
    <row r="25" spans="1:3">
      <c r="A25" s="236" t="s">
        <v>619</v>
      </c>
      <c r="B25" s="432">
        <f>+Debt!L27*100</f>
        <v>39.620608057283981</v>
      </c>
      <c r="C25" s="432">
        <f>+Debt!P27*100</f>
        <v>31.802275031250577</v>
      </c>
    </row>
    <row r="26" spans="1:3">
      <c r="A26" s="236" t="s">
        <v>620</v>
      </c>
      <c r="B26" s="432">
        <f>+Debt!L28*100</f>
        <v>45.059137295289929</v>
      </c>
      <c r="C26" s="432">
        <f>+Debt!P28*100</f>
        <v>35.849961541597459</v>
      </c>
    </row>
    <row r="27" spans="1:3">
      <c r="A27" s="236" t="s">
        <v>621</v>
      </c>
      <c r="B27" s="432">
        <f>+Debt!L29*100</f>
        <v>46.442965874178441</v>
      </c>
      <c r="C27" s="432">
        <f>+Debt!P29*100</f>
        <v>36.640282081602493</v>
      </c>
    </row>
    <row r="28" spans="1:3">
      <c r="A28" s="236" t="s">
        <v>622</v>
      </c>
      <c r="B28" s="432">
        <f>+Debt!L30*100</f>
        <v>49.907647306724229</v>
      </c>
      <c r="C28" s="432">
        <f>+Debt!P30*100</f>
        <v>38.741197626053662</v>
      </c>
    </row>
    <row r="29" spans="1:3">
      <c r="A29" s="236" t="s">
        <v>623</v>
      </c>
      <c r="B29" s="432">
        <f>+Debt!L31*100</f>
        <v>53.300738121756176</v>
      </c>
      <c r="C29" s="432">
        <f>+Debt!P31*100</f>
        <v>41.160171969561674</v>
      </c>
    </row>
    <row r="30" spans="1:3">
      <c r="A30" s="236" t="s">
        <v>624</v>
      </c>
      <c r="B30" s="432">
        <f>+Debt!L32*100</f>
        <v>47.791566850296974</v>
      </c>
      <c r="C30" s="432">
        <f>+Debt!P32*100</f>
        <v>37.271863141057366</v>
      </c>
    </row>
    <row r="31" spans="1:3">
      <c r="A31" s="236" t="s">
        <v>625</v>
      </c>
      <c r="B31" s="432">
        <f>+Debt!L33*100</f>
        <v>47.311980687544839</v>
      </c>
      <c r="C31" s="432">
        <f>+Debt!P33*100</f>
        <v>36.930612253228496</v>
      </c>
    </row>
    <row r="32" spans="1:3">
      <c r="A32" s="236" t="s">
        <v>626</v>
      </c>
      <c r="B32" s="432">
        <f>+Debt!L34*100</f>
        <v>36.571651570946663</v>
      </c>
      <c r="C32" s="432">
        <f>+Debt!P34*100</f>
        <v>27.168862007698131</v>
      </c>
    </row>
    <row r="33" spans="1:3">
      <c r="A33" s="236" t="s">
        <v>627</v>
      </c>
      <c r="B33" s="432">
        <f>+Debt!L35*100</f>
        <v>33.432384539350409</v>
      </c>
      <c r="C33" s="432">
        <f>+Debt!P35*100</f>
        <v>24.359551233861652</v>
      </c>
    </row>
    <row r="34" spans="1:3">
      <c r="A34" s="236" t="s">
        <v>628</v>
      </c>
      <c r="B34" s="432">
        <f>+Debt!L36*100</f>
        <v>26.8286112555598</v>
      </c>
      <c r="C34" s="432">
        <f>+Debt!P36*100</f>
        <v>18.23131072096605</v>
      </c>
    </row>
    <row r="35" spans="1:3">
      <c r="A35" s="236" t="s">
        <v>629</v>
      </c>
      <c r="B35" s="432">
        <f>+Debt!L37*100</f>
        <v>25.188057112481509</v>
      </c>
      <c r="C35" s="432">
        <f>+Debt!P37*100</f>
        <v>16.678933083441013</v>
      </c>
    </row>
    <row r="36" spans="1:3">
      <c r="A36" s="236" t="s">
        <v>630</v>
      </c>
      <c r="B36" s="432">
        <f>+Debt!L38*100</f>
        <v>24.626032494789353</v>
      </c>
      <c r="C36" s="432">
        <f>+Debt!P38*100</f>
        <v>16.106969123635327</v>
      </c>
    </row>
    <row r="37" spans="1:3">
      <c r="A37" s="236" t="s">
        <v>631</v>
      </c>
      <c r="B37" s="432">
        <f>+Debt!L39*100</f>
        <v>25.277267486181028</v>
      </c>
      <c r="C37" s="432">
        <f>+Debt!P39*100</f>
        <v>16.805522811995399</v>
      </c>
    </row>
    <row r="38" spans="1:3">
      <c r="A38" s="236" t="s">
        <v>311</v>
      </c>
      <c r="B38" s="432">
        <f>+Debt!L40*100</f>
        <v>24.62086699486332</v>
      </c>
      <c r="C38" s="432">
        <f>+Debt!P40*100</f>
        <v>16.108400252341347</v>
      </c>
    </row>
    <row r="39" spans="1:3">
      <c r="A39" s="236" t="s">
        <v>312</v>
      </c>
      <c r="B39" s="432">
        <f>+Debt!L41*100</f>
        <v>24.031070548715821</v>
      </c>
      <c r="C39" s="432">
        <f>+Debt!P41*100</f>
        <v>15.522589811478346</v>
      </c>
    </row>
    <row r="40" spans="1:3">
      <c r="A40" s="236" t="s">
        <v>313</v>
      </c>
      <c r="B40" s="432">
        <f>+Debt!L42*100</f>
        <v>25.990140493936703</v>
      </c>
      <c r="C40" s="432">
        <f>+Debt!P42*100</f>
        <v>17.373664513295193</v>
      </c>
    </row>
    <row r="41" spans="1:3">
      <c r="A41" s="236" t="s">
        <v>314</v>
      </c>
      <c r="B41" s="432">
        <f>+Debt!L43*100</f>
        <v>32.897469550283695</v>
      </c>
      <c r="C41" s="432">
        <f>+Debt!P43*100</f>
        <v>23.271701680926732</v>
      </c>
    </row>
    <row r="42" spans="1:3">
      <c r="A42" s="236" t="s">
        <v>315</v>
      </c>
      <c r="B42" s="432">
        <f>+Debt!L44*100</f>
        <v>34.333998496548276</v>
      </c>
      <c r="C42" s="432">
        <f>+Debt!P44*100</f>
        <v>24.481946093775036</v>
      </c>
    </row>
    <row r="43" spans="1:3">
      <c r="A43" s="236" t="s">
        <v>316</v>
      </c>
      <c r="B43" s="432">
        <f>+Debt!L45*100</f>
        <v>32.11684934971035</v>
      </c>
      <c r="C43" s="432">
        <f>+Debt!P45*100</f>
        <v>22.991929832414996</v>
      </c>
    </row>
    <row r="44" spans="1:3">
      <c r="A44" s="236" t="s">
        <v>317</v>
      </c>
      <c r="B44" s="432">
        <f>+Debt!L46*100</f>
        <v>35.443386963869408</v>
      </c>
      <c r="C44" s="432">
        <f>+Debt!P46*100</f>
        <v>24.719734722004862</v>
      </c>
    </row>
    <row r="45" spans="1:3">
      <c r="A45" s="236" t="s">
        <v>318</v>
      </c>
      <c r="B45" s="432">
        <f>+Debt!L47*100</f>
        <v>36.498027170450293</v>
      </c>
      <c r="C45" s="432">
        <f>+Debt!P47*100</f>
        <v>25.401926241931982</v>
      </c>
    </row>
    <row r="46" spans="1:3">
      <c r="A46" s="236" t="s">
        <v>632</v>
      </c>
      <c r="B46" s="432">
        <f>+Debt!L48*100</f>
        <v>32.125908456265101</v>
      </c>
      <c r="C46" s="432">
        <f>+Debt!P48*100</f>
        <v>22.678736642807877</v>
      </c>
    </row>
    <row r="47" spans="1:3">
      <c r="A47" s="236" t="s">
        <v>633</v>
      </c>
      <c r="B47" s="432">
        <f>+Debt!L49*100</f>
        <v>28.455976257096648</v>
      </c>
      <c r="C47" s="432">
        <f>+Debt!P49*100</f>
        <v>20.216837248837155</v>
      </c>
    </row>
    <row r="48" spans="1:3">
      <c r="A48" s="236" t="s">
        <v>634</v>
      </c>
      <c r="B48" s="432">
        <f>+Debt!L50*100</f>
        <v>25.792609749720146</v>
      </c>
      <c r="C48" s="432">
        <f>+Debt!P50*100</f>
        <v>17.967500937772517</v>
      </c>
    </row>
    <row r="49" spans="1:3">
      <c r="A49" s="236" t="s">
        <v>635</v>
      </c>
      <c r="B49" s="432">
        <f>+Debt!L51*100</f>
        <v>24.448892727670579</v>
      </c>
      <c r="C49" s="432">
        <f>+Debt!P51*100</f>
        <v>16.697557472573859</v>
      </c>
    </row>
    <row r="50" spans="1:3">
      <c r="A50" s="236" t="s">
        <v>636</v>
      </c>
      <c r="B50" s="432">
        <f>+Debt!L52*100</f>
        <v>22.556445600720192</v>
      </c>
      <c r="C50" s="432">
        <f>+Debt!P52*100</f>
        <v>14.922841523348879</v>
      </c>
    </row>
    <row r="51" spans="1:3">
      <c r="A51" s="236" t="s">
        <v>637</v>
      </c>
      <c r="B51" s="432">
        <f>+Debt!L53*100</f>
        <v>23.346200625259815</v>
      </c>
      <c r="C51" s="432">
        <f>+Debt!P53*100</f>
        <v>15.740893108824924</v>
      </c>
    </row>
    <row r="52" spans="1:3">
      <c r="A52" s="236" t="s">
        <v>638</v>
      </c>
      <c r="B52" s="432">
        <f>+Debt!L54*100</f>
        <v>21.655073002404247</v>
      </c>
      <c r="C52" s="432">
        <f>+Debt!P54*100</f>
        <v>13.924685686778496</v>
      </c>
    </row>
    <row r="53" spans="1:3">
      <c r="A53" s="236" t="s">
        <v>639</v>
      </c>
      <c r="B53" s="432">
        <f>+Debt!L55*100</f>
        <v>20.424422772521684</v>
      </c>
      <c r="C53" s="432">
        <f>+Debt!P55*100</f>
        <v>12.565880235176433</v>
      </c>
    </row>
    <row r="54" spans="1:3">
      <c r="A54" s="236" t="s">
        <v>640</v>
      </c>
      <c r="B54" s="432">
        <f>+Debt!L56*100</f>
        <v>19.865986799640915</v>
      </c>
      <c r="C54" s="432">
        <f>+Debt!P56*100</f>
        <v>11.916901091581835</v>
      </c>
    </row>
    <row r="55" spans="1:3">
      <c r="A55" s="236" t="s">
        <v>641</v>
      </c>
      <c r="B55" s="432">
        <f>+Debt!L57*100</f>
        <v>20.230470929804152</v>
      </c>
      <c r="C55" s="432">
        <f>+Debt!P57*100</f>
        <v>12.316363456837566</v>
      </c>
    </row>
    <row r="56" spans="1:3">
      <c r="A56" s="236" t="s">
        <v>642</v>
      </c>
      <c r="B56" s="432">
        <f>+Debt!L58*100</f>
        <v>23.463942148925142</v>
      </c>
      <c r="C56" s="432">
        <f>+Debt!P58*100</f>
        <v>15.919018880513406</v>
      </c>
    </row>
    <row r="57" spans="1:3">
      <c r="A57" s="236" t="s">
        <v>643</v>
      </c>
      <c r="B57" s="432">
        <f>+Debt!L59*100</f>
        <v>24.536306428447556</v>
      </c>
      <c r="C57" s="432">
        <f>+Debt!P59*100</f>
        <v>16.908515250614531</v>
      </c>
    </row>
    <row r="58" spans="1:3">
      <c r="A58" s="236" t="s">
        <v>644</v>
      </c>
      <c r="B58" s="432">
        <f>+Debt!L60*100</f>
        <v>27.853080147593889</v>
      </c>
      <c r="C58" s="432">
        <f>+Debt!P60*100</f>
        <v>20.204847843078955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workbookViewId="0"/>
  </sheetViews>
  <sheetFormatPr defaultColWidth="9.109375" defaultRowHeight="14.4"/>
  <cols>
    <col min="1" max="16384" width="9.109375" style="236"/>
  </cols>
  <sheetData>
    <row r="1" spans="1:3">
      <c r="A1" s="236" t="s">
        <v>607</v>
      </c>
      <c r="B1" s="236" t="s">
        <v>608</v>
      </c>
    </row>
    <row r="3" spans="1:3">
      <c r="B3" s="432" t="s">
        <v>205</v>
      </c>
      <c r="C3" s="432" t="s">
        <v>609</v>
      </c>
    </row>
    <row r="4" spans="1:3">
      <c r="A4" s="236" t="s">
        <v>610</v>
      </c>
      <c r="B4" s="432">
        <f>+'Real GDP pc'!G4</f>
        <v>6.6438561897747253</v>
      </c>
      <c r="C4" s="432">
        <f>+'Real GDP pc'!H4</f>
        <v>6.6438561897747253</v>
      </c>
    </row>
    <row r="5" spans="1:3">
      <c r="A5" s="236" t="s">
        <v>611</v>
      </c>
      <c r="B5" s="432">
        <f>+'Real GDP pc'!G5</f>
        <v>6.7019548887502198</v>
      </c>
      <c r="C5" s="432">
        <f>+'Real GDP pc'!H5</f>
        <v>6.6724253419714952</v>
      </c>
    </row>
    <row r="6" spans="1:3">
      <c r="A6" s="236" t="s">
        <v>297</v>
      </c>
      <c r="B6" s="432">
        <f>+'Real GDP pc'!G6</f>
        <v>6.7104690477823512</v>
      </c>
      <c r="C6" s="432">
        <f>+'Real GDP pc'!H6</f>
        <v>6.7009944941682678</v>
      </c>
    </row>
    <row r="7" spans="1:3">
      <c r="A7" s="236" t="s">
        <v>298</v>
      </c>
      <c r="B7" s="432">
        <f>+'Real GDP pc'!G7</f>
        <v>6.7384672600531372</v>
      </c>
      <c r="C7" s="432">
        <f>+'Real GDP pc'!H7</f>
        <v>6.7295636463650386</v>
      </c>
    </row>
    <row r="8" spans="1:3">
      <c r="A8" s="236" t="s">
        <v>299</v>
      </c>
      <c r="B8" s="432">
        <f>+'Real GDP pc'!G8</f>
        <v>6.7595944854213812</v>
      </c>
      <c r="C8" s="432">
        <f>+'Real GDP pc'!H8</f>
        <v>6.7581327985618085</v>
      </c>
    </row>
    <row r="9" spans="1:3">
      <c r="A9" s="236" t="s">
        <v>300</v>
      </c>
      <c r="B9" s="432">
        <f>+'Real GDP pc'!G9</f>
        <v>6.8076181050930114</v>
      </c>
      <c r="C9" s="432">
        <f>+'Real GDP pc'!H9</f>
        <v>6.7867019507585793</v>
      </c>
    </row>
    <row r="10" spans="1:3">
      <c r="A10" s="236" t="s">
        <v>301</v>
      </c>
      <c r="B10" s="432">
        <f>+'Real GDP pc'!G10</f>
        <v>6.7976096129720869</v>
      </c>
      <c r="C10" s="432">
        <f>+'Real GDP pc'!H10</f>
        <v>6.8152711029553501</v>
      </c>
    </row>
    <row r="11" spans="1:3">
      <c r="A11" s="236" t="s">
        <v>302</v>
      </c>
      <c r="B11" s="432">
        <f>+'Real GDP pc'!G11</f>
        <v>6.8853436139326467</v>
      </c>
      <c r="C11" s="432">
        <f>+'Real GDP pc'!H11</f>
        <v>6.8438402551521209</v>
      </c>
    </row>
    <row r="12" spans="1:3">
      <c r="A12" s="236" t="s">
        <v>303</v>
      </c>
      <c r="B12" s="432">
        <f>+'Real GDP pc'!G12</f>
        <v>6.9108733124224191</v>
      </c>
      <c r="C12" s="432">
        <f>+'Real GDP pc'!H12</f>
        <v>6.8724094073488917</v>
      </c>
    </row>
    <row r="13" spans="1:3">
      <c r="A13" s="236" t="s">
        <v>304</v>
      </c>
      <c r="B13" s="432">
        <f>+'Real GDP pc'!G13</f>
        <v>6.9393657447422861</v>
      </c>
      <c r="C13" s="432">
        <f>+'Real GDP pc'!H13</f>
        <v>6.9009785595456634</v>
      </c>
    </row>
    <row r="14" spans="1:3">
      <c r="A14" s="236" t="s">
        <v>305</v>
      </c>
      <c r="B14" s="432">
        <f>+'Real GDP pc'!G14</f>
        <v>6.9804071617615149</v>
      </c>
      <c r="C14" s="432">
        <f>+'Real GDP pc'!H14</f>
        <v>6.9295477117424342</v>
      </c>
    </row>
    <row r="15" spans="1:3">
      <c r="A15" s="236" t="s">
        <v>306</v>
      </c>
      <c r="B15" s="432">
        <f>+'Real GDP pc'!G15</f>
        <v>7.0225905429684667</v>
      </c>
      <c r="C15" s="432">
        <f>+'Real GDP pc'!H15</f>
        <v>6.958116863939205</v>
      </c>
    </row>
    <row r="16" spans="1:3">
      <c r="A16" s="236" t="s">
        <v>307</v>
      </c>
      <c r="B16" s="432">
        <f>+'Real GDP pc'!G16</f>
        <v>7.0807185294551909</v>
      </c>
      <c r="C16" s="432">
        <f>+'Real GDP pc'!H16</f>
        <v>6.9866860161359758</v>
      </c>
    </row>
    <row r="17" spans="1:3">
      <c r="A17" s="236" t="s">
        <v>308</v>
      </c>
      <c r="B17" s="432">
        <f>+'Real GDP pc'!G17</f>
        <v>7.148158239602469</v>
      </c>
      <c r="C17" s="432">
        <f>+'Real GDP pc'!H17</f>
        <v>7.0152551683327466</v>
      </c>
    </row>
    <row r="18" spans="1:3">
      <c r="A18" s="236" t="s">
        <v>309</v>
      </c>
      <c r="B18" s="432">
        <f>+'Real GDP pc'!G18</f>
        <v>7.2295346653830146</v>
      </c>
      <c r="C18" s="432">
        <f>+'Real GDP pc'!H18</f>
        <v>7.0438243205295175</v>
      </c>
    </row>
    <row r="19" spans="1:3">
      <c r="A19" s="236" t="s">
        <v>310</v>
      </c>
      <c r="B19" s="432">
        <f>+'Real GDP pc'!G19</f>
        <v>7.2892406011751305</v>
      </c>
      <c r="C19" s="432">
        <f>+'Real GDP pc'!H19</f>
        <v>7.0723934727262892</v>
      </c>
    </row>
    <row r="20" spans="1:3">
      <c r="A20" s="236" t="s">
        <v>612</v>
      </c>
      <c r="B20" s="432">
        <f>+'Real GDP pc'!G20</f>
        <v>7.3572510274389815</v>
      </c>
      <c r="C20" s="432">
        <f>+'Real GDP pc'!H20</f>
        <v>7.10096262492306</v>
      </c>
    </row>
    <row r="21" spans="1:3">
      <c r="A21" s="236" t="s">
        <v>613</v>
      </c>
      <c r="B21" s="432">
        <f>+'Real GDP pc'!G21</f>
        <v>7.4773252260740559</v>
      </c>
      <c r="C21" s="432">
        <f>+'Real GDP pc'!H21</f>
        <v>7.1295317771198308</v>
      </c>
    </row>
    <row r="22" spans="1:3">
      <c r="A22" s="236" t="s">
        <v>614</v>
      </c>
      <c r="B22" s="432">
        <f>+'Real GDP pc'!G22</f>
        <v>7.603686040828455</v>
      </c>
      <c r="C22" s="432">
        <f>+'Real GDP pc'!H22</f>
        <v>7.1581009293166016</v>
      </c>
    </row>
    <row r="23" spans="1:3">
      <c r="A23" s="236" t="s">
        <v>615</v>
      </c>
      <c r="B23" s="432">
        <f>+'Real GDP pc'!G23</f>
        <v>7.7269329660686985</v>
      </c>
      <c r="C23" s="432">
        <f>+'Real GDP pc'!H23</f>
        <v>7.1866700815133724</v>
      </c>
    </row>
    <row r="24" spans="1:3">
      <c r="A24" s="236" t="s">
        <v>616</v>
      </c>
      <c r="B24" s="432">
        <f>+'Real GDP pc'!G24</f>
        <v>7.8469642545120468</v>
      </c>
      <c r="C24" s="432">
        <f>+'Real GDP pc'!H24</f>
        <v>7.2152392337101441</v>
      </c>
    </row>
    <row r="25" spans="1:3">
      <c r="A25" s="236" t="s">
        <v>617</v>
      </c>
      <c r="B25" s="432">
        <f>+'Real GDP pc'!G25</f>
        <v>7.9321564246329661</v>
      </c>
      <c r="C25" s="432">
        <f>+'Real GDP pc'!H25</f>
        <v>7.2438083859069149</v>
      </c>
    </row>
    <row r="26" spans="1:3">
      <c r="A26" s="236" t="s">
        <v>618</v>
      </c>
      <c r="B26" s="432">
        <f>+'Real GDP pc'!G26</f>
        <v>7.8692510810525027</v>
      </c>
      <c r="C26" s="432">
        <f>+'Real GDP pc'!H26</f>
        <v>7.2723775381036857</v>
      </c>
    </row>
    <row r="27" spans="1:3">
      <c r="A27" s="236" t="s">
        <v>619</v>
      </c>
      <c r="B27" s="432">
        <f>+'Real GDP pc'!G27</f>
        <v>7.7816911305609509</v>
      </c>
      <c r="C27" s="432">
        <f>+'Real GDP pc'!H27</f>
        <v>7.3009466903004565</v>
      </c>
    </row>
    <row r="28" spans="1:3">
      <c r="A28" s="236" t="s">
        <v>620</v>
      </c>
      <c r="B28" s="432">
        <f>+'Real GDP pc'!G28</f>
        <v>7.7791358035441487</v>
      </c>
      <c r="C28" s="432">
        <f>+'Real GDP pc'!H28</f>
        <v>7.3295158424972273</v>
      </c>
    </row>
    <row r="29" spans="1:3">
      <c r="A29" s="236" t="s">
        <v>621</v>
      </c>
      <c r="B29" s="432">
        <f>+'Real GDP pc'!G29</f>
        <v>7.8013387421425184</v>
      </c>
      <c r="C29" s="432">
        <f>+'Real GDP pc'!H29</f>
        <v>7.3580849946939972</v>
      </c>
    </row>
    <row r="30" spans="1:3">
      <c r="A30" s="236" t="s">
        <v>622</v>
      </c>
      <c r="B30" s="432">
        <f>+'Real GDP pc'!G30</f>
        <v>7.8303659001396158</v>
      </c>
      <c r="C30" s="432">
        <f>+'Real GDP pc'!H30</f>
        <v>7.3866541468907698</v>
      </c>
    </row>
    <row r="31" spans="1:3">
      <c r="A31" s="236" t="s">
        <v>623</v>
      </c>
      <c r="B31" s="432">
        <f>+'Real GDP pc'!G31</f>
        <v>7.8952300610506985</v>
      </c>
      <c r="C31" s="432">
        <f>+'Real GDP pc'!H31</f>
        <v>7.4152232990875389</v>
      </c>
    </row>
    <row r="32" spans="1:3">
      <c r="A32" s="236" t="s">
        <v>624</v>
      </c>
      <c r="B32" s="432">
        <f>+'Real GDP pc'!G32</f>
        <v>7.9381831757856718</v>
      </c>
      <c r="C32" s="432">
        <f>+'Real GDP pc'!H32</f>
        <v>7.4437924512843106</v>
      </c>
    </row>
    <row r="33" spans="1:3">
      <c r="A33" s="236" t="s">
        <v>625</v>
      </c>
      <c r="B33" s="432">
        <f>+'Real GDP pc'!G33</f>
        <v>7.9958603287467884</v>
      </c>
      <c r="C33" s="432">
        <f>+'Real GDP pc'!H33</f>
        <v>7.4723616034810822</v>
      </c>
    </row>
    <row r="34" spans="1:3">
      <c r="A34" s="236" t="s">
        <v>626</v>
      </c>
      <c r="B34" s="432">
        <f>+'Real GDP pc'!G34</f>
        <v>8.0162422101506206</v>
      </c>
      <c r="C34" s="432">
        <f>+'Real GDP pc'!H34</f>
        <v>7.5009307556778531</v>
      </c>
    </row>
    <row r="35" spans="1:3">
      <c r="A35" s="236" t="s">
        <v>627</v>
      </c>
      <c r="B35" s="432">
        <f>+'Real GDP pc'!G35</f>
        <v>8.0289102812136832</v>
      </c>
      <c r="C35" s="432">
        <f>+'Real GDP pc'!H35</f>
        <v>7.5294999078746239</v>
      </c>
    </row>
    <row r="36" spans="1:3">
      <c r="A36" s="236" t="s">
        <v>628</v>
      </c>
      <c r="B36" s="432">
        <f>+'Real GDP pc'!G36</f>
        <v>8.0171024022804431</v>
      </c>
      <c r="C36" s="432">
        <f>+'Real GDP pc'!H36</f>
        <v>7.5580690600713938</v>
      </c>
    </row>
    <row r="37" spans="1:3">
      <c r="A37" s="236" t="s">
        <v>629</v>
      </c>
      <c r="B37" s="432">
        <f>+'Real GDP pc'!G37</f>
        <v>8.0513740334499975</v>
      </c>
      <c r="C37" s="432">
        <f>+'Real GDP pc'!H37</f>
        <v>7.5866382122681664</v>
      </c>
    </row>
    <row r="38" spans="1:3">
      <c r="A38" s="236" t="s">
        <v>630</v>
      </c>
      <c r="B38" s="432">
        <f>+'Real GDP pc'!G38</f>
        <v>8.0917479072188083</v>
      </c>
      <c r="C38" s="432">
        <f>+'Real GDP pc'!H38</f>
        <v>7.6152073644649363</v>
      </c>
    </row>
    <row r="39" spans="1:3">
      <c r="A39" s="236" t="s">
        <v>631</v>
      </c>
      <c r="B39" s="432">
        <f>+'Real GDP pc'!G39</f>
        <v>8.1534845351127068</v>
      </c>
      <c r="C39" s="432">
        <f>+'Real GDP pc'!H39</f>
        <v>7.6437765166617071</v>
      </c>
    </row>
    <row r="40" spans="1:3">
      <c r="A40" s="236" t="s">
        <v>311</v>
      </c>
      <c r="B40" s="432">
        <f>+'Real GDP pc'!G40</f>
        <v>8.14342364032189</v>
      </c>
      <c r="C40" s="432">
        <f>+'Real GDP pc'!H40</f>
        <v>7.6723456688584788</v>
      </c>
    </row>
    <row r="41" spans="1:3">
      <c r="A41" s="236" t="s">
        <v>312</v>
      </c>
      <c r="B41" s="432">
        <f>+'Real GDP pc'!G41</f>
        <v>8.1715857678131556</v>
      </c>
      <c r="C41" s="432">
        <f>+'Real GDP pc'!H41</f>
        <v>7.7009148210552487</v>
      </c>
    </row>
    <row r="42" spans="1:3">
      <c r="A42" s="236" t="s">
        <v>313</v>
      </c>
      <c r="B42" s="432">
        <f>+'Real GDP pc'!G42</f>
        <v>8.1414945922776383</v>
      </c>
      <c r="C42" s="432">
        <f>+'Real GDP pc'!H42</f>
        <v>7.7294839732520195</v>
      </c>
    </row>
    <row r="43" spans="1:3">
      <c r="A43" s="236" t="s">
        <v>314</v>
      </c>
      <c r="B43" s="432">
        <f>+'Real GDP pc'!G43</f>
        <v>8.0911975582857067</v>
      </c>
      <c r="C43" s="432">
        <f>+'Real GDP pc'!H43</f>
        <v>7.7580531254487912</v>
      </c>
    </row>
    <row r="44" spans="1:3">
      <c r="A44" s="236" t="s">
        <v>315</v>
      </c>
      <c r="B44" s="432">
        <f>+'Real GDP pc'!G44</f>
        <v>8.0442723915572465</v>
      </c>
      <c r="C44" s="432">
        <f>+'Real GDP pc'!H44</f>
        <v>7.786622277645562</v>
      </c>
    </row>
    <row r="45" spans="1:3">
      <c r="A45" s="236" t="s">
        <v>316</v>
      </c>
      <c r="B45" s="432">
        <f>+'Real GDP pc'!G45</f>
        <v>8.00500369930975</v>
      </c>
      <c r="C45" s="432">
        <f>+'Real GDP pc'!H45</f>
        <v>7.8151914298423328</v>
      </c>
    </row>
    <row r="46" spans="1:3">
      <c r="A46" s="236" t="s">
        <v>317</v>
      </c>
      <c r="B46" s="432">
        <f>+'Real GDP pc'!G46</f>
        <v>7.978252709631529</v>
      </c>
      <c r="C46" s="432">
        <f>+'Real GDP pc'!H46</f>
        <v>7.8437605820391036</v>
      </c>
    </row>
    <row r="47" spans="1:3">
      <c r="A47" s="236" t="s">
        <v>318</v>
      </c>
      <c r="B47" s="432">
        <f>+'Real GDP pc'!G47</f>
        <v>8.0135022105770304</v>
      </c>
      <c r="C47" s="432">
        <f>+'Real GDP pc'!H47</f>
        <v>7.8723297342358745</v>
      </c>
    </row>
    <row r="48" spans="1:3">
      <c r="A48" s="236" t="s">
        <v>632</v>
      </c>
      <c r="B48" s="432">
        <f>+'Real GDP pc'!G48</f>
        <v>8.0456813198521679</v>
      </c>
      <c r="C48" s="432">
        <f>+'Real GDP pc'!H48</f>
        <v>7.9008988864326453</v>
      </c>
    </row>
    <row r="49" spans="1:3">
      <c r="A49" s="236" t="s">
        <v>633</v>
      </c>
      <c r="B49" s="432">
        <f>+'Real GDP pc'!G49</f>
        <v>8.0514918362665533</v>
      </c>
      <c r="C49" s="432">
        <f>+'Real GDP pc'!H49</f>
        <v>7.929468038629417</v>
      </c>
    </row>
    <row r="50" spans="1:3">
      <c r="A50" s="236" t="s">
        <v>634</v>
      </c>
      <c r="B50" s="432">
        <f>+'Real GDP pc'!G50</f>
        <v>8.0950811733342078</v>
      </c>
      <c r="C50" s="432">
        <f>+'Real GDP pc'!H50</f>
        <v>7.9580371908261878</v>
      </c>
    </row>
    <row r="51" spans="1:3">
      <c r="A51" s="236" t="s">
        <v>635</v>
      </c>
      <c r="B51" s="432">
        <f>+'Real GDP pc'!G51</f>
        <v>8.1475531015901552</v>
      </c>
      <c r="C51" s="432">
        <f>+'Real GDP pc'!H51</f>
        <v>7.9866063430229586</v>
      </c>
    </row>
    <row r="52" spans="1:3">
      <c r="A52" s="236" t="s">
        <v>636</v>
      </c>
      <c r="B52" s="432">
        <f>+'Real GDP pc'!G52</f>
        <v>8.213235166993794</v>
      </c>
      <c r="C52" s="432">
        <f>+'Real GDP pc'!H52</f>
        <v>8.0151754952197294</v>
      </c>
    </row>
    <row r="53" spans="1:3">
      <c r="A53" s="236" t="s">
        <v>637</v>
      </c>
      <c r="B53" s="432">
        <f>+'Real GDP pc'!G53</f>
        <v>8.1319968561188514</v>
      </c>
      <c r="C53" s="432">
        <f>+'Real GDP pc'!H53</f>
        <v>8.0437446474165011</v>
      </c>
    </row>
    <row r="54" spans="1:3">
      <c r="A54" s="236" t="s">
        <v>638</v>
      </c>
      <c r="B54" s="432">
        <f>+'Real GDP pc'!G54</f>
        <v>8.2869698776156735</v>
      </c>
      <c r="C54" s="432">
        <f>+'Real GDP pc'!H54</f>
        <v>8.072313799613271</v>
      </c>
    </row>
    <row r="55" spans="1:3">
      <c r="A55" s="236" t="s">
        <v>639</v>
      </c>
      <c r="B55" s="432">
        <f>+'Real GDP pc'!G55</f>
        <v>8.3260422511060366</v>
      </c>
      <c r="C55" s="432">
        <f>+'Real GDP pc'!H55</f>
        <v>8.1008829518100427</v>
      </c>
    </row>
    <row r="56" spans="1:3">
      <c r="A56" s="236" t="s">
        <v>640</v>
      </c>
      <c r="B56" s="432">
        <f>+'Real GDP pc'!G56</f>
        <v>8.2860591386373947</v>
      </c>
      <c r="C56" s="432">
        <f>+'Real GDP pc'!H56</f>
        <v>8.1294521040068126</v>
      </c>
    </row>
    <row r="57" spans="1:3">
      <c r="A57" s="236" t="s">
        <v>641</v>
      </c>
      <c r="B57" s="432">
        <f>+'Real GDP pc'!G57</f>
        <v>8.4538367961817631</v>
      </c>
      <c r="C57" s="432">
        <f>+'Real GDP pc'!H57</f>
        <v>8.1580212562035843</v>
      </c>
    </row>
    <row r="58" spans="1:3">
      <c r="A58" s="236" t="s">
        <v>642</v>
      </c>
      <c r="B58" s="432">
        <f>+'Real GDP pc'!G58</f>
        <v>8.4989653173002075</v>
      </c>
      <c r="C58" s="432">
        <f>+'Real GDP pc'!H58</f>
        <v>8.186590408400356</v>
      </c>
    </row>
    <row r="59" spans="1:3">
      <c r="A59" s="236" t="s">
        <v>643</v>
      </c>
      <c r="B59" s="432">
        <f>+'Real GDP pc'!G59</f>
        <v>8.5198858345595081</v>
      </c>
      <c r="C59" s="432">
        <f>+'Real GDP pc'!H59</f>
        <v>8.2151595605971259</v>
      </c>
    </row>
    <row r="60" spans="1:3">
      <c r="A60" s="236" t="s">
        <v>644</v>
      </c>
      <c r="B60" s="432">
        <f>+'Real GDP pc'!G60</f>
        <v>8.5557988179670179</v>
      </c>
      <c r="C60" s="432">
        <f>+'Real GDP pc'!H60</f>
        <v>8.2437287127938976</v>
      </c>
    </row>
    <row r="61" spans="1:3">
      <c r="A61" s="236" t="s">
        <v>645</v>
      </c>
      <c r="B61" s="432">
        <f>+'Real GDP pc'!G61</f>
        <v>8.5955242735678148</v>
      </c>
      <c r="C61" s="432">
        <f>+'Real GDP pc'!H61</f>
        <v>8.2722978649906675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workbookViewId="0"/>
  </sheetViews>
  <sheetFormatPr defaultColWidth="9.109375" defaultRowHeight="14.4"/>
  <cols>
    <col min="1" max="16384" width="9.109375" style="236"/>
  </cols>
  <sheetData>
    <row r="1" spans="1:3">
      <c r="A1" s="236" t="s">
        <v>607</v>
      </c>
      <c r="B1" s="236" t="s">
        <v>1338</v>
      </c>
    </row>
    <row r="4" spans="1:3">
      <c r="A4" s="236" t="s">
        <v>297</v>
      </c>
      <c r="B4" s="432">
        <f>+Debt!H6</f>
        <v>110.65749700598801</v>
      </c>
      <c r="C4" s="432"/>
    </row>
    <row r="5" spans="1:3">
      <c r="A5" s="236" t="s">
        <v>298</v>
      </c>
      <c r="B5" s="432">
        <f>+Debt!H7</f>
        <v>111.78968955223881</v>
      </c>
      <c r="C5" s="432"/>
    </row>
    <row r="6" spans="1:3">
      <c r="A6" s="236" t="s">
        <v>299</v>
      </c>
      <c r="B6" s="432">
        <f>+Debt!H8</f>
        <v>127.52865269461078</v>
      </c>
      <c r="C6" s="432"/>
    </row>
    <row r="7" spans="1:3">
      <c r="A7" s="236" t="s">
        <v>300</v>
      </c>
      <c r="B7" s="432">
        <f>+Debt!H9</f>
        <v>158.19348214285714</v>
      </c>
      <c r="C7" s="432"/>
    </row>
    <row r="8" spans="1:3">
      <c r="A8" s="236" t="s">
        <v>301</v>
      </c>
      <c r="B8" s="432">
        <f>+Debt!H10</f>
        <v>190.443613832853</v>
      </c>
      <c r="C8" s="432"/>
    </row>
    <row r="9" spans="1:3">
      <c r="A9" s="236" t="s">
        <v>302</v>
      </c>
      <c r="B9" s="432">
        <f>+Debt!H11</f>
        <v>279.17445762711867</v>
      </c>
      <c r="C9" s="432"/>
    </row>
    <row r="10" spans="1:3">
      <c r="A10" s="236" t="s">
        <v>303</v>
      </c>
      <c r="B10" s="432">
        <f>+Debt!H12</f>
        <v>351.73699999999997</v>
      </c>
      <c r="C10" s="432"/>
    </row>
    <row r="11" spans="1:3">
      <c r="A11" s="236" t="s">
        <v>304</v>
      </c>
      <c r="B11" s="432">
        <f>+Debt!H13</f>
        <v>414.04001078167113</v>
      </c>
      <c r="C11" s="432"/>
    </row>
    <row r="12" spans="1:3">
      <c r="A12" s="236" t="s">
        <v>305</v>
      </c>
      <c r="B12" s="432">
        <f>+Debt!H14</f>
        <v>478.3364575835476</v>
      </c>
      <c r="C12" s="432"/>
    </row>
    <row r="13" spans="1:3">
      <c r="A13" s="236" t="s">
        <v>306</v>
      </c>
      <c r="B13" s="432">
        <f>+Debt!H15</f>
        <v>527.11723115577888</v>
      </c>
      <c r="C13" s="432"/>
    </row>
    <row r="14" spans="1:3">
      <c r="A14" s="236" t="s">
        <v>307</v>
      </c>
      <c r="B14" s="432">
        <f>+Debt!H16</f>
        <v>558.87585401459842</v>
      </c>
      <c r="C14" s="432"/>
    </row>
    <row r="15" spans="1:3">
      <c r="A15" s="236" t="s">
        <v>308</v>
      </c>
      <c r="B15" s="432">
        <f>+Debt!H17</f>
        <v>579.32100702576111</v>
      </c>
      <c r="C15" s="432"/>
    </row>
    <row r="16" spans="1:3">
      <c r="A16" s="236" t="s">
        <v>309</v>
      </c>
      <c r="B16" s="432">
        <f>+Debt!H18</f>
        <v>600.66380672268906</v>
      </c>
      <c r="C16" s="432"/>
    </row>
    <row r="17" spans="1:3">
      <c r="A17" s="236" t="s">
        <v>310</v>
      </c>
      <c r="B17" s="432">
        <f>+Debt!H19</f>
        <v>600.16929787234051</v>
      </c>
      <c r="C17" s="432"/>
    </row>
    <row r="18" spans="1:3">
      <c r="A18" s="236" t="s">
        <v>612</v>
      </c>
      <c r="B18" s="432">
        <f>+Debt!H20</f>
        <v>807.66587021630619</v>
      </c>
      <c r="C18" s="432"/>
    </row>
    <row r="19" spans="1:3">
      <c r="A19" s="236" t="s">
        <v>613</v>
      </c>
      <c r="B19" s="432">
        <f>+Debt!H21</f>
        <v>875.91780769230775</v>
      </c>
      <c r="C19" s="432"/>
    </row>
    <row r="20" spans="1:3">
      <c r="A20" s="236" t="s">
        <v>614</v>
      </c>
      <c r="B20" s="432">
        <f>+Debt!H22</f>
        <v>1066.2358290854572</v>
      </c>
      <c r="C20" s="432"/>
    </row>
    <row r="21" spans="1:3">
      <c r="A21" s="236" t="s">
        <v>615</v>
      </c>
      <c r="B21" s="432">
        <f>+Debt!H23</f>
        <v>998.13665934065932</v>
      </c>
      <c r="C21" s="432"/>
    </row>
    <row r="22" spans="1:3">
      <c r="A22" s="236" t="s">
        <v>616</v>
      </c>
      <c r="B22" s="432">
        <f>+Debt!H24</f>
        <v>1063.6864233576639</v>
      </c>
      <c r="C22" s="432"/>
    </row>
    <row r="23" spans="1:3">
      <c r="A23" s="236" t="s">
        <v>617</v>
      </c>
      <c r="B23" s="432">
        <f>+Debt!H25</f>
        <v>984.32879084967317</v>
      </c>
      <c r="C23" s="432"/>
    </row>
    <row r="24" spans="1:3">
      <c r="A24" s="236" t="s">
        <v>618</v>
      </c>
      <c r="B24" s="432">
        <f>+Debt!H26</f>
        <v>1212.4519348931842</v>
      </c>
      <c r="C24" s="432"/>
    </row>
    <row r="25" spans="1:3">
      <c r="A25" s="236" t="s">
        <v>619</v>
      </c>
      <c r="B25" s="432">
        <f>+Debt!H27</f>
        <v>1497.0474872298623</v>
      </c>
      <c r="C25" s="432"/>
    </row>
    <row r="26" spans="1:3">
      <c r="A26" s="236" t="s">
        <v>620</v>
      </c>
      <c r="B26" s="432">
        <f>+Debt!H28</f>
        <v>1735.1192082111438</v>
      </c>
      <c r="C26" s="432"/>
    </row>
    <row r="27" spans="1:3">
      <c r="A27" s="236" t="s">
        <v>621</v>
      </c>
      <c r="B27" s="432">
        <f>+Debt!H29</f>
        <v>1853.5822500000002</v>
      </c>
      <c r="C27" s="432"/>
    </row>
    <row r="28" spans="1:3">
      <c r="A28" s="236" t="s">
        <v>622</v>
      </c>
      <c r="B28" s="432">
        <f>+Debt!H30</f>
        <v>2057.1687849056598</v>
      </c>
      <c r="C28" s="432"/>
    </row>
    <row r="29" spans="1:3">
      <c r="A29" s="236" t="s">
        <v>623</v>
      </c>
      <c r="B29" s="432">
        <f>+Debt!H31</f>
        <v>2351.3371563706569</v>
      </c>
      <c r="C29" s="432"/>
    </row>
    <row r="30" spans="1:3">
      <c r="A30" s="236" t="s">
        <v>624</v>
      </c>
      <c r="B30" s="432">
        <f>+Debt!H32</f>
        <v>2255.1624158790169</v>
      </c>
      <c r="C30" s="432"/>
    </row>
    <row r="31" spans="1:3">
      <c r="A31" s="236" t="s">
        <v>625</v>
      </c>
      <c r="B31" s="432">
        <f>+Debt!H33</f>
        <v>2389.4829272727275</v>
      </c>
      <c r="C31" s="432"/>
    </row>
    <row r="32" spans="1:3">
      <c r="A32" s="236" t="s">
        <v>626</v>
      </c>
      <c r="B32" s="432">
        <f>+Debt!H34</f>
        <v>1830.3608779220776</v>
      </c>
      <c r="C32" s="432"/>
    </row>
    <row r="33" spans="1:3">
      <c r="A33" s="236" t="s">
        <v>627</v>
      </c>
      <c r="B33" s="432">
        <f>+Debt!H35</f>
        <v>1698.4323934426229</v>
      </c>
      <c r="C33" s="432"/>
    </row>
    <row r="34" spans="1:3">
      <c r="A34" s="236" t="s">
        <v>628</v>
      </c>
      <c r="B34" s="432">
        <f>+Debt!H36</f>
        <v>1292.7143597710547</v>
      </c>
      <c r="C34" s="432"/>
    </row>
    <row r="35" spans="1:3">
      <c r="A35" s="236" t="s">
        <v>629</v>
      </c>
      <c r="B35" s="432">
        <f>+Debt!H37</f>
        <v>1241.0204541062801</v>
      </c>
      <c r="C35" s="432"/>
    </row>
    <row r="36" spans="1:3">
      <c r="A36" s="236" t="s">
        <v>630</v>
      </c>
      <c r="B36" s="432">
        <f>+Debt!H38</f>
        <v>1262.1958938906751</v>
      </c>
      <c r="C36" s="432"/>
    </row>
    <row r="37" spans="1:3">
      <c r="A37" s="236" t="s">
        <v>631</v>
      </c>
      <c r="B37" s="432">
        <f>+Debt!H39</f>
        <v>1406.789</v>
      </c>
      <c r="C37" s="432"/>
    </row>
    <row r="38" spans="1:3">
      <c r="A38" s="236" t="s">
        <v>311</v>
      </c>
      <c r="B38" s="432">
        <f>+Debt!H40</f>
        <v>1369.654361948956</v>
      </c>
      <c r="C38" s="432"/>
    </row>
    <row r="39" spans="1:3">
      <c r="A39" s="236" t="s">
        <v>312</v>
      </c>
      <c r="B39" s="432">
        <f>+Debt!H41</f>
        <v>1375.8390744920991</v>
      </c>
      <c r="C39" s="432"/>
    </row>
    <row r="40" spans="1:3">
      <c r="A40" s="236" t="s">
        <v>313</v>
      </c>
      <c r="B40" s="432">
        <f>+Debt!H42</f>
        <v>1540.9561232876711</v>
      </c>
      <c r="C40" s="432"/>
    </row>
    <row r="41" spans="1:3">
      <c r="A41" s="236" t="s">
        <v>314</v>
      </c>
      <c r="B41" s="432">
        <f>+Debt!H43</f>
        <v>2035.8851652703729</v>
      </c>
      <c r="C41" s="432"/>
    </row>
    <row r="42" spans="1:3">
      <c r="A42" s="236" t="s">
        <v>315</v>
      </c>
      <c r="B42" s="432">
        <f>+Debt!H44</f>
        <v>2092.1979674556219</v>
      </c>
      <c r="C42" s="432"/>
    </row>
    <row r="43" spans="1:3">
      <c r="A43" s="236" t="s">
        <v>316</v>
      </c>
      <c r="B43" s="432">
        <f>+Debt!H45</f>
        <v>1948.4749195729537</v>
      </c>
      <c r="C43" s="432"/>
    </row>
    <row r="44" spans="1:3">
      <c r="A44" s="236" t="s">
        <v>317</v>
      </c>
      <c r="B44" s="432">
        <f>+Debt!H46</f>
        <v>2094.4511347826083</v>
      </c>
      <c r="C44" s="432"/>
    </row>
    <row r="45" spans="1:3">
      <c r="A45" s="236" t="s">
        <v>318</v>
      </c>
      <c r="B45" s="432">
        <f>+Debt!H47</f>
        <v>2245.245109520401</v>
      </c>
      <c r="C45" s="432"/>
    </row>
    <row r="46" spans="1:3">
      <c r="A46" s="236" t="s">
        <v>632</v>
      </c>
      <c r="B46" s="432">
        <f>+Debt!H48</f>
        <v>2085.878526533425</v>
      </c>
      <c r="C46" s="432"/>
    </row>
    <row r="47" spans="1:3">
      <c r="A47" s="236" t="s">
        <v>633</v>
      </c>
      <c r="B47" s="432">
        <f>+Debt!H49</f>
        <v>1899.1162311756934</v>
      </c>
      <c r="C47" s="432"/>
    </row>
    <row r="48" spans="1:3">
      <c r="A48" s="236" t="s">
        <v>634</v>
      </c>
      <c r="B48" s="432">
        <f>+Debt!H50</f>
        <v>1768.9549887218045</v>
      </c>
      <c r="C48" s="432"/>
    </row>
    <row r="49" spans="1:3">
      <c r="A49" s="236" t="s">
        <v>635</v>
      </c>
      <c r="B49" s="432">
        <f>+Debt!H51</f>
        <v>1733.0526256983239</v>
      </c>
      <c r="C49" s="432"/>
    </row>
    <row r="50" spans="1:3">
      <c r="A50" s="236" t="s">
        <v>636</v>
      </c>
      <c r="B50" s="432">
        <f>+Debt!H52</f>
        <v>1647.346923704135</v>
      </c>
      <c r="C50" s="432"/>
    </row>
    <row r="51" spans="1:3">
      <c r="A51" s="236" t="s">
        <v>637</v>
      </c>
      <c r="B51" s="432">
        <f>+Debt!H53</f>
        <v>1668.7424266352389</v>
      </c>
      <c r="C51" s="432"/>
    </row>
    <row r="52" spans="1:3">
      <c r="A52" s="236" t="s">
        <v>638</v>
      </c>
      <c r="B52" s="432">
        <f>+Debt!H54</f>
        <v>1669.4794184076795</v>
      </c>
      <c r="C52" s="432"/>
    </row>
    <row r="53" spans="1:3">
      <c r="A53" s="236" t="s">
        <v>639</v>
      </c>
      <c r="B53" s="432">
        <f>+Debt!H55</f>
        <v>1571.9887597826087</v>
      </c>
      <c r="C53" s="432"/>
    </row>
    <row r="54" spans="1:3">
      <c r="A54" s="236" t="s">
        <v>640</v>
      </c>
      <c r="B54" s="432">
        <f>+Debt!H56</f>
        <v>1472.3310638297871</v>
      </c>
      <c r="C54" s="432"/>
    </row>
    <row r="55" spans="1:3">
      <c r="A55" s="236" t="s">
        <v>641</v>
      </c>
      <c r="B55" s="432">
        <f>+Debt!H57</f>
        <v>1735.2724270353301</v>
      </c>
      <c r="C55" s="432"/>
    </row>
    <row r="56" spans="1:3">
      <c r="A56" s="236" t="s">
        <v>642</v>
      </c>
      <c r="B56" s="432">
        <f>+Debt!H58</f>
        <v>2348.7715582450833</v>
      </c>
      <c r="C56" s="432"/>
    </row>
    <row r="57" spans="1:3">
      <c r="A57" s="236" t="s">
        <v>643</v>
      </c>
      <c r="B57" s="432">
        <f>+Debt!H59</f>
        <v>2568.667682926829</v>
      </c>
      <c r="C57" s="432"/>
    </row>
    <row r="58" spans="1:3">
      <c r="A58" s="236" t="s">
        <v>644</v>
      </c>
      <c r="B58" s="432">
        <f>+Debt!H60</f>
        <v>3192.8096234309623</v>
      </c>
      <c r="C58" s="432"/>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C1" workbookViewId="0"/>
  </sheetViews>
  <sheetFormatPr defaultColWidth="12.44140625" defaultRowHeight="14.4"/>
  <cols>
    <col min="1" max="1" width="12.44140625" style="117"/>
    <col min="2" max="2" width="32.6640625" style="117" customWidth="1"/>
    <col min="3" max="3" width="54.109375" style="117" customWidth="1"/>
    <col min="4" max="4" width="18.33203125" style="117" customWidth="1"/>
    <col min="5" max="5" width="25.88671875" style="117" customWidth="1"/>
    <col min="6" max="6" width="58.44140625" style="117" customWidth="1"/>
    <col min="7" max="16384" width="12.44140625" style="117"/>
  </cols>
  <sheetData>
    <row r="1" spans="1:6">
      <c r="B1" s="443" t="s">
        <v>1357</v>
      </c>
      <c r="D1" s="444" t="s">
        <v>1358</v>
      </c>
      <c r="F1" s="444" t="s">
        <v>1359</v>
      </c>
    </row>
    <row r="2" spans="1:6" ht="15" thickBot="1">
      <c r="B2" s="415" t="s">
        <v>1360</v>
      </c>
      <c r="C2" s="415" t="s">
        <v>1361</v>
      </c>
      <c r="D2" s="415" t="s">
        <v>515</v>
      </c>
      <c r="E2" s="415" t="s">
        <v>1362</v>
      </c>
      <c r="F2" s="415" t="s">
        <v>1363</v>
      </c>
    </row>
    <row r="3" spans="1:6" ht="15" thickTop="1">
      <c r="A3" s="117">
        <v>1962</v>
      </c>
      <c r="B3" s="117">
        <v>0.1328244703486354</v>
      </c>
      <c r="C3" s="117">
        <v>0.13123331838168714</v>
      </c>
      <c r="D3" s="117">
        <v>2.0000000000000684E-2</v>
      </c>
      <c r="E3" s="117">
        <v>-1.1569295761125198E-2</v>
      </c>
      <c r="F3" s="117">
        <v>3.8705963150109835E-3</v>
      </c>
    </row>
    <row r="4" spans="1:6">
      <c r="A4" s="117">
        <v>1963</v>
      </c>
      <c r="B4" s="117">
        <v>0.12813244622011927</v>
      </c>
      <c r="C4" s="117">
        <v>0.14026428221688586</v>
      </c>
      <c r="D4" s="117">
        <v>1.568627450980431E-2</v>
      </c>
      <c r="E4" s="117">
        <v>8.1593006313744443E-2</v>
      </c>
      <c r="F4" s="117">
        <v>4.2910526026393274E-3</v>
      </c>
    </row>
    <row r="5" spans="1:6">
      <c r="A5" s="117">
        <v>1964</v>
      </c>
      <c r="B5" s="117">
        <v>0.12856792502531991</v>
      </c>
      <c r="C5" s="117">
        <v>0.14112009515466134</v>
      </c>
      <c r="D5" s="117">
        <v>5.0442227727720779E-2</v>
      </c>
      <c r="E5" s="117">
        <v>0.24562191288729229</v>
      </c>
      <c r="F5" s="117">
        <v>7.1143177875161038E-3</v>
      </c>
    </row>
    <row r="6" spans="1:6">
      <c r="A6" s="117">
        <v>1965</v>
      </c>
      <c r="B6" s="117">
        <v>0.15086378419189994</v>
      </c>
      <c r="C6" s="117">
        <v>0.14503234157391171</v>
      </c>
      <c r="D6" s="117">
        <v>3.9215686274509665E-2</v>
      </c>
      <c r="E6" s="117">
        <v>0.13157894736842102</v>
      </c>
      <c r="F6" s="117">
        <v>8.8493676752784949E-3</v>
      </c>
    </row>
    <row r="7" spans="1:6">
      <c r="A7" s="117">
        <v>1966</v>
      </c>
      <c r="B7" s="117">
        <v>0.15097604923990518</v>
      </c>
      <c r="C7" s="117">
        <v>0.16830949991928099</v>
      </c>
      <c r="D7" s="117">
        <v>1.3207547169811651E-2</v>
      </c>
      <c r="E7" s="117">
        <v>5.0971647021345046E-3</v>
      </c>
      <c r="F7" s="117">
        <v>3.2351657460736975E-3</v>
      </c>
    </row>
    <row r="8" spans="1:6">
      <c r="A8" s="117">
        <v>1967</v>
      </c>
      <c r="B8" s="117">
        <v>0.15766704882745614</v>
      </c>
      <c r="C8" s="117">
        <v>0.20421134596180437</v>
      </c>
      <c r="D8" s="117">
        <v>5.5865921787707773E-3</v>
      </c>
      <c r="E8" s="117">
        <v>2.5673534072900184E-2</v>
      </c>
      <c r="F8" s="117">
        <v>8.7670254488262708E-3</v>
      </c>
    </row>
    <row r="9" spans="1:6">
      <c r="A9" s="117">
        <v>1968</v>
      </c>
      <c r="B9" s="117">
        <v>0.16739436435208019</v>
      </c>
      <c r="C9" s="117">
        <v>0.21715845775999906</v>
      </c>
      <c r="D9" s="117">
        <v>2.6851851851852127E-2</v>
      </c>
      <c r="E9" s="117">
        <v>9.6106304079109917E-2</v>
      </c>
      <c r="F9" s="117">
        <v>6.9501727944649748E-3</v>
      </c>
    </row>
    <row r="10" spans="1:6">
      <c r="A10" s="117">
        <v>1969</v>
      </c>
      <c r="B10" s="117">
        <v>0.1701818153765636</v>
      </c>
      <c r="C10" s="117">
        <v>0.18242412034830593</v>
      </c>
      <c r="D10" s="117">
        <v>-2.7051397655546428E-3</v>
      </c>
      <c r="E10" s="117">
        <v>4.6800112771355984E-2</v>
      </c>
      <c r="F10" s="117">
        <v>4.5587874943887382E-3</v>
      </c>
    </row>
    <row r="11" spans="1:6">
      <c r="A11" s="117">
        <v>1970</v>
      </c>
      <c r="B11" s="117">
        <v>0.17050043060644421</v>
      </c>
      <c r="C11" s="117">
        <v>0.17706648332468372</v>
      </c>
      <c r="D11" s="117">
        <v>2.2603978300180794E-2</v>
      </c>
      <c r="E11" s="117">
        <v>0.16347966603824404</v>
      </c>
      <c r="F11" s="117">
        <v>7.6404901472605048E-3</v>
      </c>
    </row>
    <row r="12" spans="1:6">
      <c r="A12" s="117">
        <v>1971</v>
      </c>
      <c r="B12" s="117">
        <v>0.15642437552450697</v>
      </c>
      <c r="C12" s="117">
        <v>0.17323439255438153</v>
      </c>
      <c r="D12" s="117">
        <v>6.2776304155614637E-2</v>
      </c>
      <c r="E12" s="117">
        <v>0.11018518518518516</v>
      </c>
      <c r="F12" s="117">
        <v>1.2871769898893996E-2</v>
      </c>
    </row>
    <row r="13" spans="1:6">
      <c r="A13" s="117">
        <v>1972</v>
      </c>
      <c r="B13" s="117">
        <v>0.14816963436833466</v>
      </c>
      <c r="C13" s="117">
        <v>0.17492849213450112</v>
      </c>
      <c r="D13" s="117">
        <v>9.4841930116472239E-2</v>
      </c>
      <c r="E13" s="117">
        <v>0.16618015012510434</v>
      </c>
      <c r="F13" s="117">
        <v>1.7080909762012465E-2</v>
      </c>
    </row>
    <row r="14" spans="1:6">
      <c r="A14" s="117">
        <v>1973</v>
      </c>
      <c r="B14" s="117">
        <v>0.13974782448075121</v>
      </c>
      <c r="C14" s="117">
        <v>0.14982287517288198</v>
      </c>
      <c r="D14" s="117">
        <v>0.14133738601823698</v>
      </c>
      <c r="E14" s="117">
        <v>0.27158948685857331</v>
      </c>
      <c r="F14" s="117">
        <v>2.4089246542964109E-2</v>
      </c>
    </row>
    <row r="15" spans="1:6">
      <c r="A15" s="117">
        <v>1974</v>
      </c>
      <c r="B15" s="117">
        <v>0.13694824523991686</v>
      </c>
      <c r="C15" s="117">
        <v>0.14269080933983222</v>
      </c>
      <c r="D15" s="117">
        <v>0.2197070572569908</v>
      </c>
      <c r="E15" s="117">
        <v>0.16872890888638925</v>
      </c>
      <c r="F15" s="117">
        <v>3.1694959776108568E-2</v>
      </c>
    </row>
    <row r="16" spans="1:6">
      <c r="A16" s="117">
        <v>1975</v>
      </c>
      <c r="B16" s="117">
        <v>0.13730636209097946</v>
      </c>
      <c r="C16" s="117">
        <v>0.19956197133457321</v>
      </c>
      <c r="D16" s="117">
        <v>8.6790393013100431E-2</v>
      </c>
      <c r="E16" s="117">
        <v>0.1696342637151107</v>
      </c>
      <c r="F16" s="117">
        <v>1.5874746496011925E-2</v>
      </c>
    </row>
    <row r="17" spans="1:6">
      <c r="A17" s="117">
        <v>1976</v>
      </c>
      <c r="B17" s="117">
        <v>0.14413215731199061</v>
      </c>
      <c r="C17" s="117">
        <v>0.18016841591068153</v>
      </c>
      <c r="D17" s="117">
        <v>3.3651431441486634E-2</v>
      </c>
      <c r="E17" s="117">
        <v>0.15788932318452997</v>
      </c>
      <c r="F17" s="117">
        <v>1.2388097985459453E-2</v>
      </c>
    </row>
    <row r="18" spans="1:6">
      <c r="A18" s="117">
        <v>1977</v>
      </c>
      <c r="B18" s="117">
        <v>0.14189738414853154</v>
      </c>
      <c r="C18" s="117">
        <v>0.15938601647688336</v>
      </c>
      <c r="D18" s="117">
        <v>9.3780369290573207E-2</v>
      </c>
      <c r="E18" s="117">
        <v>0.31091765123922888</v>
      </c>
      <c r="F18" s="117">
        <v>2.3361293333512764E-2</v>
      </c>
    </row>
    <row r="19" spans="1:6">
      <c r="A19" s="117">
        <v>1978</v>
      </c>
      <c r="B19" s="117">
        <v>0.15073944028855241</v>
      </c>
      <c r="C19" s="117">
        <v>0.17274784025147077</v>
      </c>
      <c r="D19" s="117">
        <v>0.16836961350510871</v>
      </c>
      <c r="E19" s="117">
        <v>0.36599579860405229</v>
      </c>
      <c r="F19" s="117">
        <v>3.2556980949628236E-2</v>
      </c>
    </row>
    <row r="20" spans="1:6">
      <c r="A20" s="117">
        <v>1979</v>
      </c>
      <c r="B20" s="117">
        <v>0.16205531634142542</v>
      </c>
      <c r="C20" s="117">
        <v>0.14586649248483621</v>
      </c>
      <c r="D20" s="117">
        <v>0.35703422053231937</v>
      </c>
      <c r="E20" s="117">
        <v>0.2115785296160333</v>
      </c>
      <c r="F20" s="117">
        <v>5.1088066754650108E-2</v>
      </c>
    </row>
    <row r="21" spans="1:6">
      <c r="A21" s="117">
        <v>1980</v>
      </c>
      <c r="B21" s="117">
        <v>0.14925408563000539</v>
      </c>
      <c r="C21" s="117">
        <v>0.14534349823358605</v>
      </c>
      <c r="D21" s="117">
        <v>0.15017255226305104</v>
      </c>
      <c r="E21" s="117">
        <v>0.38033820578962452</v>
      </c>
      <c r="F21" s="117">
        <v>2.8428666278593129E-2</v>
      </c>
    </row>
    <row r="22" spans="1:6">
      <c r="A22" s="117">
        <v>1981</v>
      </c>
      <c r="B22" s="117">
        <v>0.18610034733214167</v>
      </c>
      <c r="C22" s="117">
        <v>0.21608760467571211</v>
      </c>
      <c r="D22" s="117">
        <v>8.1180811808118092E-2</v>
      </c>
      <c r="E22" s="117">
        <v>1.9488609397247281E-2</v>
      </c>
      <c r="F22" s="117">
        <v>1.9694011254774515E-2</v>
      </c>
    </row>
    <row r="23" spans="1:6">
      <c r="A23" s="117">
        <v>1982</v>
      </c>
      <c r="B23" s="117">
        <v>0.16073914648335957</v>
      </c>
      <c r="C23" s="117">
        <v>0.17189897277472296</v>
      </c>
      <c r="D23" s="117">
        <v>8.8737201365187701E-2</v>
      </c>
      <c r="E23" s="117">
        <v>5.1267130262736771E-2</v>
      </c>
      <c r="F23" s="117">
        <v>8.2048398921169309E-3</v>
      </c>
    </row>
    <row r="24" spans="1:6">
      <c r="A24" s="117">
        <v>1983</v>
      </c>
      <c r="B24" s="117">
        <v>0.13972872731896463</v>
      </c>
      <c r="C24" s="117">
        <v>0.19237201175694291</v>
      </c>
      <c r="D24" s="117">
        <v>0.14106583072100309</v>
      </c>
      <c r="E24" s="117">
        <v>0.15822977498546953</v>
      </c>
      <c r="F24" s="117">
        <v>1.07503125681504E-2</v>
      </c>
    </row>
    <row r="25" spans="1:6">
      <c r="A25" s="117">
        <v>1984</v>
      </c>
      <c r="B25" s="117">
        <v>0.13035202302968465</v>
      </c>
      <c r="C25" s="117">
        <v>0.21010223059235938</v>
      </c>
      <c r="D25" s="117">
        <v>0.29807692307692313</v>
      </c>
      <c r="E25" s="117">
        <v>0.28328713439112985</v>
      </c>
      <c r="F25" s="117">
        <v>3.1923658099887696E-2</v>
      </c>
    </row>
    <row r="26" spans="1:6">
      <c r="A26" s="117">
        <v>1985</v>
      </c>
      <c r="B26" s="117">
        <v>0.13744626574359348</v>
      </c>
      <c r="C26" s="117">
        <v>0.18541207702612278</v>
      </c>
      <c r="D26" s="117">
        <v>0.23068783068783105</v>
      </c>
      <c r="E26" s="117">
        <v>0.2953280077463083</v>
      </c>
      <c r="F26" s="117">
        <v>2.6978993631846988E-2</v>
      </c>
    </row>
    <row r="27" spans="1:6">
      <c r="A27" s="117">
        <v>1986</v>
      </c>
      <c r="B27" s="117">
        <v>0.12107117385395913</v>
      </c>
      <c r="C27" s="117">
        <v>0.15229059682574325</v>
      </c>
      <c r="D27" s="117">
        <v>0.24118658641444535</v>
      </c>
      <c r="E27" s="117">
        <v>0.32340468352428742</v>
      </c>
      <c r="F27" s="117">
        <v>2.5514610097380493E-2</v>
      </c>
    </row>
    <row r="28" spans="1:6">
      <c r="A28" s="117">
        <v>1987</v>
      </c>
      <c r="B28" s="117">
        <v>0.12725300387646576</v>
      </c>
      <c r="C28" s="117">
        <v>0.13874971065703723</v>
      </c>
      <c r="D28" s="117">
        <v>0.32040180117769324</v>
      </c>
      <c r="E28" s="117">
        <v>0.3937540734303715</v>
      </c>
      <c r="F28" s="117">
        <v>3.3452563935403107E-2</v>
      </c>
    </row>
    <row r="29" spans="1:6">
      <c r="A29" s="117">
        <v>1988</v>
      </c>
      <c r="B29" s="117">
        <v>0.12156099297477162</v>
      </c>
      <c r="C29" s="117">
        <v>0.14449792210563717</v>
      </c>
      <c r="D29" s="117">
        <v>0.16946484784889826</v>
      </c>
      <c r="E29" s="117">
        <v>0.24133926692593666</v>
      </c>
      <c r="F29" s="117">
        <v>2.189957420681448E-2</v>
      </c>
    </row>
    <row r="30" spans="1:6">
      <c r="A30" s="117">
        <v>1989</v>
      </c>
      <c r="B30" s="117">
        <v>0.14692657836889667</v>
      </c>
      <c r="C30" s="117">
        <v>0.15096185952306371</v>
      </c>
      <c r="D30" s="117">
        <v>0.28532974427994628</v>
      </c>
      <c r="E30" s="117">
        <v>0.44345942552189599</v>
      </c>
      <c r="F30" s="117">
        <v>2.8147997829765684E-2</v>
      </c>
    </row>
    <row r="31" spans="1:6">
      <c r="A31" s="117">
        <v>1990</v>
      </c>
      <c r="B31" s="117">
        <v>0.23506263065901276</v>
      </c>
      <c r="C31" s="117">
        <v>0.11212016134722097</v>
      </c>
      <c r="D31" s="117">
        <v>0.44066317626527041</v>
      </c>
      <c r="E31" s="117">
        <v>0.41478075917653667</v>
      </c>
      <c r="F31" s="117">
        <v>3.0927005116881533E-2</v>
      </c>
    </row>
    <row r="32" spans="1:6">
      <c r="A32" s="117">
        <v>1991</v>
      </c>
      <c r="B32" s="117">
        <v>0.21534539918168666</v>
      </c>
      <c r="C32" s="117">
        <v>0.13246670682450437</v>
      </c>
      <c r="D32" s="117">
        <v>0.11811023622047245</v>
      </c>
      <c r="E32" s="117">
        <v>0.30358965529962978</v>
      </c>
      <c r="F32" s="117">
        <v>1.0610143675904992E-2</v>
      </c>
    </row>
    <row r="33" spans="1:6">
      <c r="A33" s="117">
        <v>1992</v>
      </c>
      <c r="B33" s="117">
        <v>0.22778911094436707</v>
      </c>
      <c r="C33" s="117">
        <v>0.16087422504678389</v>
      </c>
      <c r="D33" s="117">
        <v>0.17811484290357549</v>
      </c>
      <c r="E33" s="117">
        <v>0.3625499981132787</v>
      </c>
      <c r="F33" s="117">
        <v>1.2283083990338856E-2</v>
      </c>
    </row>
    <row r="34" spans="1:6">
      <c r="A34" s="117">
        <v>1993</v>
      </c>
      <c r="B34" s="117">
        <v>0.24176279985929533</v>
      </c>
      <c r="C34" s="117">
        <v>0.16333839099776928</v>
      </c>
      <c r="D34" s="117">
        <v>0.20406474158543286</v>
      </c>
      <c r="E34" s="117">
        <v>0.20899084887224939</v>
      </c>
      <c r="F34" s="117">
        <v>1.7517419487520041E-2</v>
      </c>
    </row>
    <row r="35" spans="1:6">
      <c r="A35" s="117">
        <v>1994</v>
      </c>
      <c r="B35" s="117">
        <v>0.26491409634228963</v>
      </c>
      <c r="C35" s="117">
        <v>0.16714524817756077</v>
      </c>
      <c r="D35" s="117">
        <v>0.18276941877339037</v>
      </c>
      <c r="E35" s="117">
        <v>0.24559547363869849</v>
      </c>
      <c r="F35" s="117">
        <v>1.6427513273769595E-2</v>
      </c>
    </row>
    <row r="36" spans="1:6">
      <c r="A36" s="117">
        <v>1995</v>
      </c>
      <c r="B36" s="117">
        <v>0.25424133181132769</v>
      </c>
      <c r="C36" s="117">
        <v>0.17915425059610668</v>
      </c>
      <c r="D36" s="117">
        <v>0.10533159947984405</v>
      </c>
      <c r="E36" s="117">
        <v>0.19046217893385409</v>
      </c>
      <c r="F36" s="117">
        <v>1.3704966510492729E-2</v>
      </c>
    </row>
    <row r="37" spans="1:6">
      <c r="A37" s="117">
        <v>1996</v>
      </c>
      <c r="B37" s="117">
        <v>0.26455185427857758</v>
      </c>
      <c r="C37" s="117">
        <v>0.1903403490928631</v>
      </c>
      <c r="D37" s="117">
        <v>8.1764705882352962E-2</v>
      </c>
      <c r="E37" s="117">
        <v>5.6334655738559558E-2</v>
      </c>
      <c r="F37" s="117">
        <v>8.3437977899833687E-3</v>
      </c>
    </row>
    <row r="38" spans="1:6">
      <c r="A38" s="117">
        <v>1997</v>
      </c>
      <c r="B38" s="117">
        <v>0.29020922330290161</v>
      </c>
      <c r="C38" s="117">
        <v>0.23086789130795576</v>
      </c>
      <c r="D38" s="117">
        <v>6.1990212071778128E-2</v>
      </c>
      <c r="E38" s="117">
        <v>0.14588145184066725</v>
      </c>
      <c r="F38" s="117">
        <v>8.1815786758147029E-3</v>
      </c>
    </row>
    <row r="39" spans="1:6">
      <c r="A39" s="117">
        <v>1998</v>
      </c>
      <c r="B39" s="117">
        <v>0.22114335428098364</v>
      </c>
      <c r="C39" s="117">
        <v>0.20490630371310031</v>
      </c>
      <c r="D39" s="117">
        <v>0.14644137224782372</v>
      </c>
      <c r="E39" s="117">
        <v>0.12398878833271909</v>
      </c>
      <c r="F39" s="117">
        <v>1.083138298785251E-2</v>
      </c>
    </row>
    <row r="40" spans="1:6">
      <c r="A40" s="117">
        <v>1999</v>
      </c>
      <c r="B40" s="117">
        <v>0.29090455123390901</v>
      </c>
      <c r="C40" s="117">
        <v>0.3206723196437859</v>
      </c>
      <c r="D40" s="117">
        <v>5.4041983028137563E-2</v>
      </c>
      <c r="E40" s="117">
        <v>0.12657312484653738</v>
      </c>
      <c r="F40" s="117">
        <v>3.0797955209256348E-3</v>
      </c>
    </row>
    <row r="41" spans="1:6">
      <c r="A41" s="117">
        <v>2000</v>
      </c>
      <c r="B41" s="117">
        <v>0.30475702905018426</v>
      </c>
      <c r="C41" s="117">
        <v>0.33465358683565188</v>
      </c>
      <c r="D41" s="117">
        <v>8.6440677966101553E-2</v>
      </c>
      <c r="E41" s="117">
        <v>-1.9406650847214157E-2</v>
      </c>
      <c r="F41" s="117">
        <v>4.71861337851265E-3</v>
      </c>
    </row>
    <row r="42" spans="1:6">
      <c r="A42" s="117">
        <v>2001</v>
      </c>
      <c r="B42" s="117">
        <v>0.30190289580087915</v>
      </c>
      <c r="C42" s="117">
        <v>0.2938684753339923</v>
      </c>
      <c r="D42" s="117">
        <v>8.3853354134165281E-2</v>
      </c>
      <c r="E42" s="117">
        <v>6.7809305519599627E-2</v>
      </c>
      <c r="F42" s="117">
        <v>5.1324737481574815E-3</v>
      </c>
    </row>
    <row r="43" spans="1:6">
      <c r="A43" s="117">
        <v>2002</v>
      </c>
      <c r="B43" s="117">
        <v>0.26813040917419312</v>
      </c>
      <c r="C43" s="117">
        <v>0.29045591569332191</v>
      </c>
      <c r="D43" s="117">
        <v>0.14645555955379663</v>
      </c>
      <c r="E43" s="117">
        <v>2.1914312373552125E-2</v>
      </c>
      <c r="F43" s="117">
        <v>9.0314349557395878E-3</v>
      </c>
    </row>
    <row r="44" spans="1:6">
      <c r="A44" s="117">
        <v>2003</v>
      </c>
      <c r="B44" s="117">
        <v>0.26844923811169347</v>
      </c>
      <c r="C44" s="117">
        <v>0.26224176102075675</v>
      </c>
      <c r="D44" s="117">
        <v>9.3220338983050821E-2</v>
      </c>
      <c r="E44" s="117">
        <v>0.29913921093747242</v>
      </c>
      <c r="F44" s="117">
        <v>7.4705260467077747E-3</v>
      </c>
    </row>
    <row r="45" spans="1:6">
      <c r="A45" s="117">
        <v>2004</v>
      </c>
      <c r="B45" s="117">
        <v>0.29361718890261862</v>
      </c>
      <c r="C45" s="117">
        <v>0.27547939119450504</v>
      </c>
      <c r="D45" s="117">
        <v>2.8136663795578443E-2</v>
      </c>
      <c r="E45" s="117">
        <v>0.12722096198410915</v>
      </c>
      <c r="F45" s="117">
        <v>5.3402784072797737E-3</v>
      </c>
    </row>
    <row r="46" spans="1:6">
      <c r="A46" s="117">
        <v>2005</v>
      </c>
      <c r="B46" s="117">
        <v>0.29820435805460832</v>
      </c>
      <c r="C46" s="117">
        <v>0.28458214024856088</v>
      </c>
      <c r="D46" s="117">
        <v>9.8575816810946737E-2</v>
      </c>
      <c r="E46" s="117">
        <v>0.17580672198979963</v>
      </c>
      <c r="F46" s="117">
        <v>9.1990920346340255E-3</v>
      </c>
    </row>
    <row r="47" spans="1:6">
      <c r="A47" s="117">
        <v>2006</v>
      </c>
      <c r="B47" s="117">
        <v>0.30143039974026631</v>
      </c>
      <c r="C47" s="117">
        <v>0.28147296879566669</v>
      </c>
      <c r="D47" s="117">
        <v>0.12480935434672102</v>
      </c>
      <c r="E47" s="117">
        <v>0.15262925407997141</v>
      </c>
      <c r="F47" s="117">
        <v>1.1923975386202138E-2</v>
      </c>
    </row>
    <row r="48" spans="1:6">
      <c r="A48" s="117">
        <v>2007</v>
      </c>
      <c r="B48" s="117">
        <v>0.26970367744853646</v>
      </c>
      <c r="C48" s="117">
        <v>0.25193474674969574</v>
      </c>
      <c r="D48" s="117">
        <v>5.966101694915249E-2</v>
      </c>
      <c r="E48" s="117">
        <v>0.2832042494889988</v>
      </c>
      <c r="F48" s="117">
        <v>8.3691135450840674E-3</v>
      </c>
    </row>
    <row r="49" spans="1:6">
      <c r="A49" s="117">
        <v>2008</v>
      </c>
      <c r="B49" s="117">
        <v>0.27651247361555542</v>
      </c>
      <c r="C49" s="117">
        <v>0.2454123246369492</v>
      </c>
      <c r="D49" s="117">
        <v>7.4999999999999956E-2</v>
      </c>
      <c r="E49" s="117">
        <v>0.14974872504771053</v>
      </c>
      <c r="F49" s="117">
        <v>1.1696573622548306E-2</v>
      </c>
    </row>
    <row r="50" spans="1:6">
      <c r="A50" s="117">
        <v>2009</v>
      </c>
      <c r="B50" s="117">
        <v>0.29592250563406186</v>
      </c>
      <c r="C50" s="117">
        <v>0.30043253284277072</v>
      </c>
      <c r="D50" s="117">
        <v>1.8604651162790642E-2</v>
      </c>
      <c r="E50" s="117">
        <v>0.11336637071078615</v>
      </c>
      <c r="F50" s="117">
        <v>-2.1015875015778082E-3</v>
      </c>
    </row>
    <row r="51" spans="1:6">
      <c r="A51" s="117">
        <v>2010</v>
      </c>
      <c r="B51" s="117">
        <v>0.27434935228837076</v>
      </c>
      <c r="C51" s="117">
        <v>0.26627762280130496</v>
      </c>
      <c r="D51" s="117">
        <v>7.214611872146115E-2</v>
      </c>
      <c r="E51" s="117">
        <v>0.1852243102358897</v>
      </c>
      <c r="F51" s="117">
        <v>2.2508710371731151E-2</v>
      </c>
    </row>
    <row r="52" spans="1:6">
      <c r="A52" s="117">
        <v>2011</v>
      </c>
      <c r="B52" s="117">
        <v>0.29751798237367777</v>
      </c>
      <c r="C52" s="117">
        <v>0.28367866417355042</v>
      </c>
      <c r="D52" s="117">
        <v>4.9403747870528036E-2</v>
      </c>
      <c r="E52" s="117">
        <v>0.11590310951386851</v>
      </c>
      <c r="F52" s="117">
        <v>9.3863116533591268E-3</v>
      </c>
    </row>
    <row r="53" spans="1:6">
      <c r="A53" s="117">
        <v>2012</v>
      </c>
      <c r="B53" s="117">
        <v>0.3119325165193369</v>
      </c>
      <c r="C53" s="117">
        <v>0.32732837602825604</v>
      </c>
      <c r="D53" s="117">
        <v>3.9772727272727293E-2</v>
      </c>
      <c r="E53" s="117">
        <v>0.17502390682591074</v>
      </c>
      <c r="F53" s="117">
        <v>2.8870534066370076E-3</v>
      </c>
    </row>
    <row r="54" spans="1:6">
      <c r="A54" s="117">
        <v>2013</v>
      </c>
      <c r="B54" s="117">
        <v>0.2782109814896776</v>
      </c>
      <c r="C54" s="117">
        <v>0.29438285101213107</v>
      </c>
      <c r="D54" s="117">
        <v>3.7470725995316201E-2</v>
      </c>
      <c r="E54" s="117">
        <v>0.13220251934944494</v>
      </c>
      <c r="F54" s="117">
        <v>1.9327228175991831E-2</v>
      </c>
    </row>
    <row r="55" spans="1:6">
      <c r="A55" s="117">
        <v>2014</v>
      </c>
      <c r="B55" s="117">
        <v>0.29009492628724254</v>
      </c>
      <c r="C55" s="117">
        <v>0.29683700189138407</v>
      </c>
      <c r="D55" s="117">
        <v>4.2136945071482357E-2</v>
      </c>
      <c r="E55" s="117">
        <v>8.9412404620302866E-2</v>
      </c>
      <c r="F55" s="117">
        <v>8.8043534085367556E-3</v>
      </c>
    </row>
    <row r="56" spans="1:6">
      <c r="A56" s="117">
        <v>2015</v>
      </c>
      <c r="B56" s="117">
        <v>0.29683448292000497</v>
      </c>
      <c r="C56" s="117">
        <v>0.26084449461925008</v>
      </c>
      <c r="D56" s="117">
        <v>3.1046931407942235E-2</v>
      </c>
      <c r="E56" s="117">
        <v>2.871840138367876E-2</v>
      </c>
      <c r="F56" s="117">
        <v>6.1425577258547113E-3</v>
      </c>
    </row>
    <row r="57" spans="1:6">
      <c r="A57" s="117">
        <v>2016</v>
      </c>
      <c r="D57" s="117">
        <v>3.9215686274508776E-2</v>
      </c>
      <c r="E57" s="117">
        <v>4.9153157165945816E-2</v>
      </c>
      <c r="F57" s="117">
        <v>7.9174119832916105E-3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
  <sheetViews>
    <sheetView workbookViewId="0">
      <selection activeCell="A3" sqref="A3:C58"/>
    </sheetView>
  </sheetViews>
  <sheetFormatPr defaultColWidth="9.109375" defaultRowHeight="14.4"/>
  <cols>
    <col min="1" max="16384" width="9.109375" style="236"/>
  </cols>
  <sheetData>
    <row r="1" spans="1:3">
      <c r="A1" s="236" t="s">
        <v>607</v>
      </c>
      <c r="B1" s="236" t="s">
        <v>1369</v>
      </c>
    </row>
    <row r="3" spans="1:3">
      <c r="B3" s="236" t="s">
        <v>1368</v>
      </c>
      <c r="C3" s="236" t="s">
        <v>1370</v>
      </c>
    </row>
    <row r="4" spans="1:3">
      <c r="A4" s="236" t="s">
        <v>297</v>
      </c>
      <c r="B4" s="432">
        <f>+'Data Figures 7, 8, 9'!D3*100</f>
        <v>2.0000000000000684</v>
      </c>
      <c r="C4" s="432">
        <f>+'Data Figures 7, 8, 9'!F3*100</f>
        <v>0.38705963150109834</v>
      </c>
    </row>
    <row r="5" spans="1:3">
      <c r="A5" s="236" t="s">
        <v>298</v>
      </c>
      <c r="B5" s="432">
        <f>+'Data Figures 7, 8, 9'!D4*100</f>
        <v>1.568627450980431</v>
      </c>
      <c r="C5" s="432">
        <f>+'Data Figures 7, 8, 9'!F4*100</f>
        <v>0.42910526026393275</v>
      </c>
    </row>
    <row r="6" spans="1:3">
      <c r="A6" s="236" t="s">
        <v>299</v>
      </c>
      <c r="B6" s="432">
        <f>+'Data Figures 7, 8, 9'!D5*100</f>
        <v>5.0442227727720779</v>
      </c>
      <c r="C6" s="432">
        <f>+'Data Figures 7, 8, 9'!F5*100</f>
        <v>0.71143177875161034</v>
      </c>
    </row>
    <row r="7" spans="1:3">
      <c r="A7" s="236" t="s">
        <v>300</v>
      </c>
      <c r="B7" s="432">
        <f>+'Data Figures 7, 8, 9'!D6*100</f>
        <v>3.9215686274509665</v>
      </c>
      <c r="C7" s="432">
        <f>+'Data Figures 7, 8, 9'!F6*100</f>
        <v>0.88493676752784944</v>
      </c>
    </row>
    <row r="8" spans="1:3">
      <c r="A8" s="236" t="s">
        <v>301</v>
      </c>
      <c r="B8" s="432">
        <f>+'Data Figures 7, 8, 9'!D7*100</f>
        <v>1.3207547169811651</v>
      </c>
      <c r="C8" s="432">
        <f>+'Data Figures 7, 8, 9'!F7*100</f>
        <v>0.32351657460736977</v>
      </c>
    </row>
    <row r="9" spans="1:3">
      <c r="A9" s="236" t="s">
        <v>302</v>
      </c>
      <c r="B9" s="432">
        <f>+'Data Figures 7, 8, 9'!D8*100</f>
        <v>0.55865921787707773</v>
      </c>
      <c r="C9" s="432">
        <f>+'Data Figures 7, 8, 9'!F8*100</f>
        <v>0.87670254488262711</v>
      </c>
    </row>
    <row r="10" spans="1:3">
      <c r="A10" s="236" t="s">
        <v>303</v>
      </c>
      <c r="B10" s="432">
        <f>+'Data Figures 7, 8, 9'!D9*100</f>
        <v>2.6851851851852127</v>
      </c>
      <c r="C10" s="432">
        <f>+'Data Figures 7, 8, 9'!F9*100</f>
        <v>0.69501727944649749</v>
      </c>
    </row>
    <row r="11" spans="1:3">
      <c r="A11" s="236" t="s">
        <v>304</v>
      </c>
      <c r="B11" s="432">
        <f>+'Data Figures 7, 8, 9'!D10*100</f>
        <v>-0.27051397655546428</v>
      </c>
      <c r="C11" s="432">
        <f>+'Data Figures 7, 8, 9'!F10*100</f>
        <v>0.4558787494388738</v>
      </c>
    </row>
    <row r="12" spans="1:3">
      <c r="A12" s="236" t="s">
        <v>305</v>
      </c>
      <c r="B12" s="432">
        <f>+'Data Figures 7, 8, 9'!D11*100</f>
        <v>2.2603978300180794</v>
      </c>
      <c r="C12" s="432">
        <f>+'Data Figures 7, 8, 9'!F11*100</f>
        <v>0.76404901472605047</v>
      </c>
    </row>
    <row r="13" spans="1:3">
      <c r="A13" s="236" t="s">
        <v>306</v>
      </c>
      <c r="B13" s="432">
        <f>+'Data Figures 7, 8, 9'!D12*100</f>
        <v>6.2776304155614637</v>
      </c>
      <c r="C13" s="432">
        <f>+'Data Figures 7, 8, 9'!F12*100</f>
        <v>1.2871769898893997</v>
      </c>
    </row>
    <row r="14" spans="1:3">
      <c r="A14" s="236" t="s">
        <v>307</v>
      </c>
      <c r="B14" s="432">
        <f>+'Data Figures 7, 8, 9'!D13*100</f>
        <v>9.4841930116472248</v>
      </c>
      <c r="C14" s="432">
        <f>+'Data Figures 7, 8, 9'!F13*100</f>
        <v>1.7080909762012466</v>
      </c>
    </row>
    <row r="15" spans="1:3">
      <c r="A15" s="236" t="s">
        <v>308</v>
      </c>
      <c r="B15" s="432">
        <f>+'Data Figures 7, 8, 9'!D14*100</f>
        <v>14.133738601823698</v>
      </c>
      <c r="C15" s="432">
        <f>+'Data Figures 7, 8, 9'!F14*100</f>
        <v>2.4089246542964111</v>
      </c>
    </row>
    <row r="16" spans="1:3">
      <c r="A16" s="236" t="s">
        <v>309</v>
      </c>
      <c r="B16" s="432">
        <f>+'Data Figures 7, 8, 9'!D15*100</f>
        <v>21.97070572569908</v>
      </c>
      <c r="C16" s="432">
        <f>+'Data Figures 7, 8, 9'!F15*100</f>
        <v>3.1694959776108567</v>
      </c>
    </row>
    <row r="17" spans="1:3">
      <c r="A17" s="236" t="s">
        <v>310</v>
      </c>
      <c r="B17" s="432">
        <f>+'Data Figures 7, 8, 9'!D16*100</f>
        <v>8.6790393013100431</v>
      </c>
      <c r="C17" s="432">
        <f>+'Data Figures 7, 8, 9'!F16*100</f>
        <v>1.5874746496011924</v>
      </c>
    </row>
    <row r="18" spans="1:3">
      <c r="A18" s="236" t="s">
        <v>612</v>
      </c>
      <c r="B18" s="432">
        <f>+'Data Figures 7, 8, 9'!D17*100</f>
        <v>3.3651431441486634</v>
      </c>
      <c r="C18" s="432">
        <f>+'Data Figures 7, 8, 9'!F17*100</f>
        <v>1.2388097985459452</v>
      </c>
    </row>
    <row r="19" spans="1:3">
      <c r="A19" s="236" t="s">
        <v>613</v>
      </c>
      <c r="B19" s="432">
        <f>+'Data Figures 7, 8, 9'!D18*100</f>
        <v>9.3780369290573198</v>
      </c>
      <c r="C19" s="432">
        <f>+'Data Figures 7, 8, 9'!F18*100</f>
        <v>2.3361293333512765</v>
      </c>
    </row>
    <row r="20" spans="1:3">
      <c r="A20" s="236" t="s">
        <v>614</v>
      </c>
      <c r="B20" s="432">
        <f>+'Data Figures 7, 8, 9'!D19*100</f>
        <v>16.836961350510869</v>
      </c>
      <c r="C20" s="432">
        <f>+'Data Figures 7, 8, 9'!F19*100</f>
        <v>3.2556980949628236</v>
      </c>
    </row>
    <row r="21" spans="1:3">
      <c r="A21" s="236" t="s">
        <v>615</v>
      </c>
      <c r="B21" s="432">
        <f>+'Data Figures 7, 8, 9'!D20*100</f>
        <v>35.70342205323194</v>
      </c>
      <c r="C21" s="432">
        <f>+'Data Figures 7, 8, 9'!F20*100</f>
        <v>5.1088066754650105</v>
      </c>
    </row>
    <row r="22" spans="1:3">
      <c r="A22" s="236" t="s">
        <v>616</v>
      </c>
      <c r="B22" s="432">
        <f>+'Data Figures 7, 8, 9'!D21*100</f>
        <v>15.017255226305103</v>
      </c>
      <c r="C22" s="432">
        <f>+'Data Figures 7, 8, 9'!F21*100</f>
        <v>2.8428666278593129</v>
      </c>
    </row>
    <row r="23" spans="1:3">
      <c r="A23" s="236" t="s">
        <v>617</v>
      </c>
      <c r="B23" s="432">
        <f>+'Data Figures 7, 8, 9'!D22*100</f>
        <v>8.1180811808118101</v>
      </c>
      <c r="C23" s="432">
        <f>+'Data Figures 7, 8, 9'!F22*100</f>
        <v>1.9694011254774515</v>
      </c>
    </row>
    <row r="24" spans="1:3">
      <c r="A24" s="236" t="s">
        <v>618</v>
      </c>
      <c r="B24" s="432">
        <f>+'Data Figures 7, 8, 9'!D23*100</f>
        <v>8.8737201365187701</v>
      </c>
      <c r="C24" s="432">
        <f>+'Data Figures 7, 8, 9'!F23*100</f>
        <v>0.82048398921169308</v>
      </c>
    </row>
    <row r="25" spans="1:3">
      <c r="A25" s="236" t="s">
        <v>619</v>
      </c>
      <c r="B25" s="432">
        <f>+'Data Figures 7, 8, 9'!D24*100</f>
        <v>14.10658307210031</v>
      </c>
      <c r="C25" s="432">
        <f>+'Data Figures 7, 8, 9'!F24*100</f>
        <v>1.07503125681504</v>
      </c>
    </row>
    <row r="26" spans="1:3">
      <c r="A26" s="236" t="s">
        <v>620</v>
      </c>
      <c r="B26" s="432">
        <f>+'Data Figures 7, 8, 9'!D25*100</f>
        <v>29.807692307692314</v>
      </c>
      <c r="C26" s="432">
        <f>+'Data Figures 7, 8, 9'!F25*100</f>
        <v>3.1923658099887695</v>
      </c>
    </row>
    <row r="27" spans="1:3">
      <c r="A27" s="236" t="s">
        <v>621</v>
      </c>
      <c r="B27" s="432">
        <f>+'Data Figures 7, 8, 9'!D26*100</f>
        <v>23.068783068783105</v>
      </c>
      <c r="C27" s="432">
        <f>+'Data Figures 7, 8, 9'!F26*100</f>
        <v>2.6978993631846988</v>
      </c>
    </row>
    <row r="28" spans="1:3">
      <c r="A28" s="236" t="s">
        <v>622</v>
      </c>
      <c r="B28" s="432">
        <f>+'Data Figures 7, 8, 9'!D27*100</f>
        <v>24.118658641444533</v>
      </c>
      <c r="C28" s="432">
        <f>+'Data Figures 7, 8, 9'!F27*100</f>
        <v>2.5514610097380492</v>
      </c>
    </row>
    <row r="29" spans="1:3">
      <c r="A29" s="236" t="s">
        <v>623</v>
      </c>
      <c r="B29" s="432">
        <f>+'Data Figures 7, 8, 9'!D28*100</f>
        <v>32.040180117769324</v>
      </c>
      <c r="C29" s="432">
        <f>+'Data Figures 7, 8, 9'!F28*100</f>
        <v>3.3452563935403106</v>
      </c>
    </row>
    <row r="30" spans="1:3">
      <c r="A30" s="236" t="s">
        <v>624</v>
      </c>
      <c r="B30" s="432">
        <f>+'Data Figures 7, 8, 9'!D29*100</f>
        <v>16.946484784889826</v>
      </c>
      <c r="C30" s="432">
        <f>+'Data Figures 7, 8, 9'!F29*100</f>
        <v>2.1899574206814481</v>
      </c>
    </row>
    <row r="31" spans="1:3">
      <c r="A31" s="236" t="s">
        <v>625</v>
      </c>
      <c r="B31" s="432">
        <f>+'Data Figures 7, 8, 9'!D30*100</f>
        <v>28.532974427994628</v>
      </c>
      <c r="C31" s="432">
        <f>+'Data Figures 7, 8, 9'!F30*100</f>
        <v>2.8147997829765683</v>
      </c>
    </row>
    <row r="32" spans="1:3">
      <c r="A32" s="236" t="s">
        <v>626</v>
      </c>
      <c r="B32" s="432">
        <f>+'Data Figures 7, 8, 9'!D31*100</f>
        <v>44.066317626527038</v>
      </c>
      <c r="C32" s="432">
        <f>+'Data Figures 7, 8, 9'!F31*100</f>
        <v>3.0927005116881534</v>
      </c>
    </row>
    <row r="33" spans="1:3">
      <c r="A33" s="236" t="s">
        <v>627</v>
      </c>
      <c r="B33" s="432">
        <f>+'Data Figures 7, 8, 9'!D32*100</f>
        <v>11.811023622047244</v>
      </c>
      <c r="C33" s="432">
        <f>+'Data Figures 7, 8, 9'!F32*100</f>
        <v>1.0610143675904993</v>
      </c>
    </row>
    <row r="34" spans="1:3">
      <c r="A34" s="236" t="s">
        <v>628</v>
      </c>
      <c r="B34" s="432">
        <f>+'Data Figures 7, 8, 9'!D33*100</f>
        <v>17.811484290357548</v>
      </c>
      <c r="C34" s="432">
        <f>+'Data Figures 7, 8, 9'!F33*100</f>
        <v>1.2283083990338857</v>
      </c>
    </row>
    <row r="35" spans="1:3">
      <c r="A35" s="236" t="s">
        <v>629</v>
      </c>
      <c r="B35" s="432">
        <f>+'Data Figures 7, 8, 9'!D34*100</f>
        <v>20.406474158543286</v>
      </c>
      <c r="C35" s="432">
        <f>+'Data Figures 7, 8, 9'!F34*100</f>
        <v>1.7517419487520041</v>
      </c>
    </row>
    <row r="36" spans="1:3">
      <c r="A36" s="236" t="s">
        <v>630</v>
      </c>
      <c r="B36" s="432">
        <f>+'Data Figures 7, 8, 9'!D35*100</f>
        <v>18.276941877339038</v>
      </c>
      <c r="C36" s="432">
        <f>+'Data Figures 7, 8, 9'!F35*100</f>
        <v>1.6427513273769594</v>
      </c>
    </row>
    <row r="37" spans="1:3">
      <c r="A37" s="236" t="s">
        <v>631</v>
      </c>
      <c r="B37" s="432">
        <f>+'Data Figures 7, 8, 9'!D36*100</f>
        <v>10.533159947984405</v>
      </c>
      <c r="C37" s="432">
        <f>+'Data Figures 7, 8, 9'!F36*100</f>
        <v>1.3704966510492729</v>
      </c>
    </row>
    <row r="38" spans="1:3">
      <c r="A38" s="236" t="s">
        <v>311</v>
      </c>
      <c r="B38" s="432">
        <f>+'Data Figures 7, 8, 9'!D37*100</f>
        <v>8.176470588235297</v>
      </c>
      <c r="C38" s="432">
        <f>+'Data Figures 7, 8, 9'!F37*100</f>
        <v>0.83437977899833682</v>
      </c>
    </row>
    <row r="39" spans="1:3">
      <c r="A39" s="236" t="s">
        <v>312</v>
      </c>
      <c r="B39" s="432">
        <f>+'Data Figures 7, 8, 9'!D38*100</f>
        <v>6.1990212071778128</v>
      </c>
      <c r="C39" s="432">
        <f>+'Data Figures 7, 8, 9'!F38*100</f>
        <v>0.81815786758147024</v>
      </c>
    </row>
    <row r="40" spans="1:3">
      <c r="A40" s="236" t="s">
        <v>313</v>
      </c>
      <c r="B40" s="432">
        <f>+'Data Figures 7, 8, 9'!D39*100</f>
        <v>14.644137224782373</v>
      </c>
      <c r="C40" s="432">
        <f>+'Data Figures 7, 8, 9'!F39*100</f>
        <v>1.0831382987852511</v>
      </c>
    </row>
    <row r="41" spans="1:3">
      <c r="A41" s="236" t="s">
        <v>314</v>
      </c>
      <c r="B41" s="432">
        <f>+'Data Figures 7, 8, 9'!D40*100</f>
        <v>5.4041983028137563</v>
      </c>
      <c r="C41" s="432">
        <f>+'Data Figures 7, 8, 9'!F40*100</f>
        <v>0.3079795520925635</v>
      </c>
    </row>
    <row r="42" spans="1:3">
      <c r="A42" s="236" t="s">
        <v>315</v>
      </c>
      <c r="B42" s="432">
        <f>+'Data Figures 7, 8, 9'!D41*100</f>
        <v>8.6440677966101553</v>
      </c>
      <c r="C42" s="432">
        <f>+'Data Figures 7, 8, 9'!F41*100</f>
        <v>0.47186133785126499</v>
      </c>
    </row>
    <row r="43" spans="1:3">
      <c r="A43" s="236" t="s">
        <v>316</v>
      </c>
      <c r="B43" s="432">
        <f>+'Data Figures 7, 8, 9'!D42*100</f>
        <v>8.3853354134165272</v>
      </c>
      <c r="C43" s="432">
        <f>+'Data Figures 7, 8, 9'!F42*100</f>
        <v>0.51324737481574811</v>
      </c>
    </row>
    <row r="44" spans="1:3">
      <c r="A44" s="236" t="s">
        <v>317</v>
      </c>
      <c r="B44" s="432">
        <f>+'Data Figures 7, 8, 9'!D43*100</f>
        <v>14.645555955379663</v>
      </c>
      <c r="C44" s="432">
        <f>+'Data Figures 7, 8, 9'!F43*100</f>
        <v>0.90314349557395879</v>
      </c>
    </row>
    <row r="45" spans="1:3">
      <c r="A45" s="236" t="s">
        <v>318</v>
      </c>
      <c r="B45" s="432">
        <f>+'Data Figures 7, 8, 9'!D44*100</f>
        <v>9.322033898305083</v>
      </c>
      <c r="C45" s="432">
        <f>+'Data Figures 7, 8, 9'!F44*100</f>
        <v>0.7470526046707775</v>
      </c>
    </row>
    <row r="46" spans="1:3">
      <c r="A46" s="236" t="s">
        <v>632</v>
      </c>
      <c r="B46" s="432">
        <f>+'Data Figures 7, 8, 9'!D45*100</f>
        <v>2.8136663795578443</v>
      </c>
      <c r="C46" s="432">
        <f>+'Data Figures 7, 8, 9'!F45*100</f>
        <v>0.53402784072797738</v>
      </c>
    </row>
    <row r="47" spans="1:3">
      <c r="A47" s="236" t="s">
        <v>633</v>
      </c>
      <c r="B47" s="432">
        <f>+'Data Figures 7, 8, 9'!D46*100</f>
        <v>9.8575816810946737</v>
      </c>
      <c r="C47" s="432">
        <f>+'Data Figures 7, 8, 9'!F46*100</f>
        <v>0.91990920346340255</v>
      </c>
    </row>
    <row r="48" spans="1:3">
      <c r="A48" s="236" t="s">
        <v>634</v>
      </c>
      <c r="B48" s="432">
        <f>+'Data Figures 7, 8, 9'!D47*100</f>
        <v>12.480935434672102</v>
      </c>
      <c r="C48" s="432">
        <f>+'Data Figures 7, 8, 9'!F47*100</f>
        <v>1.1923975386202137</v>
      </c>
    </row>
    <row r="49" spans="1:3">
      <c r="A49" s="236" t="s">
        <v>635</v>
      </c>
      <c r="B49" s="432">
        <f>+'Data Figures 7, 8, 9'!D48*100</f>
        <v>5.966101694915249</v>
      </c>
      <c r="C49" s="432">
        <f>+'Data Figures 7, 8, 9'!F48*100</f>
        <v>0.8369113545084067</v>
      </c>
    </row>
    <row r="50" spans="1:3">
      <c r="A50" s="236" t="s">
        <v>636</v>
      </c>
      <c r="B50" s="432">
        <f>+'Data Figures 7, 8, 9'!D49*100</f>
        <v>7.4999999999999956</v>
      </c>
      <c r="C50" s="432">
        <f>+'Data Figures 7, 8, 9'!F49*100</f>
        <v>1.1696573622548305</v>
      </c>
    </row>
    <row r="51" spans="1:3">
      <c r="A51" s="236" t="s">
        <v>637</v>
      </c>
      <c r="B51" s="432">
        <f>+'Data Figures 7, 8, 9'!D50*100</f>
        <v>1.8604651162790642</v>
      </c>
      <c r="C51" s="432">
        <f>+'Data Figures 7, 8, 9'!F50*100</f>
        <v>-0.21015875015778082</v>
      </c>
    </row>
    <row r="52" spans="1:3">
      <c r="A52" s="236" t="s">
        <v>638</v>
      </c>
      <c r="B52" s="432">
        <f>+'Data Figures 7, 8, 9'!D51*100</f>
        <v>7.214611872146115</v>
      </c>
      <c r="C52" s="432">
        <f>+'Data Figures 7, 8, 9'!F51*100</f>
        <v>2.2508710371731149</v>
      </c>
    </row>
    <row r="53" spans="1:3">
      <c r="A53" s="236" t="s">
        <v>639</v>
      </c>
      <c r="B53" s="432">
        <f>+'Data Figures 7, 8, 9'!D52*100</f>
        <v>4.9403747870528036</v>
      </c>
      <c r="C53" s="432">
        <f>+'Data Figures 7, 8, 9'!F52*100</f>
        <v>0.93863116533591273</v>
      </c>
    </row>
    <row r="54" spans="1:3">
      <c r="A54" s="236" t="s">
        <v>640</v>
      </c>
      <c r="B54" s="432">
        <f>+'Data Figures 7, 8, 9'!D53*100</f>
        <v>3.9772727272727293</v>
      </c>
      <c r="C54" s="432">
        <f>+'Data Figures 7, 8, 9'!F53*100</f>
        <v>0.28870534066370074</v>
      </c>
    </row>
    <row r="55" spans="1:3">
      <c r="A55" s="236" t="s">
        <v>641</v>
      </c>
      <c r="B55" s="432">
        <f>+'Data Figures 7, 8, 9'!D54*100</f>
        <v>3.7470725995316201</v>
      </c>
      <c r="C55" s="432">
        <f>+'Data Figures 7, 8, 9'!F54*100</f>
        <v>1.9327228175991831</v>
      </c>
    </row>
    <row r="56" spans="1:3">
      <c r="A56" s="236" t="s">
        <v>642</v>
      </c>
      <c r="B56" s="432">
        <f>+'Data Figures 7, 8, 9'!D55*100</f>
        <v>4.2136945071482357</v>
      </c>
      <c r="C56" s="432">
        <f>+'Data Figures 7, 8, 9'!F55*100</f>
        <v>0.88043534085367559</v>
      </c>
    </row>
    <row r="57" spans="1:3">
      <c r="A57" s="236" t="s">
        <v>643</v>
      </c>
      <c r="B57" s="432">
        <f>+'Data Figures 7, 8, 9'!D56*100</f>
        <v>3.1046931407942235</v>
      </c>
      <c r="C57" s="432">
        <f>+'Data Figures 7, 8, 9'!F56*100</f>
        <v>0.61425577258547115</v>
      </c>
    </row>
    <row r="58" spans="1:3">
      <c r="A58" s="236" t="s">
        <v>644</v>
      </c>
      <c r="B58" s="432">
        <f>+'Data Figures 7, 8, 9'!D57*100</f>
        <v>3.9215686274508776</v>
      </c>
      <c r="C58" s="432">
        <f>+'Data Figures 7, 8, 9'!F57*100</f>
        <v>0.79174119832916101</v>
      </c>
    </row>
    <row r="59" spans="1:3">
      <c r="B59" s="432"/>
      <c r="C59" s="432"/>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A3" sqref="A3:E57"/>
    </sheetView>
  </sheetViews>
  <sheetFormatPr defaultColWidth="9.109375" defaultRowHeight="14.4"/>
  <cols>
    <col min="1" max="16384" width="9.109375" style="236"/>
  </cols>
  <sheetData>
    <row r="1" spans="1:6">
      <c r="A1" s="236" t="s">
        <v>607</v>
      </c>
      <c r="B1" s="236" t="s">
        <v>1349</v>
      </c>
    </row>
    <row r="3" spans="1:6">
      <c r="B3" s="236" t="s">
        <v>1332</v>
      </c>
      <c r="C3" s="236" t="s">
        <v>1343</v>
      </c>
      <c r="D3" s="236" t="s">
        <v>1344</v>
      </c>
      <c r="E3" s="236" t="s">
        <v>1345</v>
      </c>
    </row>
    <row r="4" spans="1:6">
      <c r="A4" s="433" t="s">
        <v>297</v>
      </c>
      <c r="B4" s="434">
        <f>+'Budget accounting'!E4*100</f>
        <v>-0.2018073642398624</v>
      </c>
      <c r="C4" s="434">
        <f>+'Budget accounting'!C4*100</f>
        <v>-0.41620856553350322</v>
      </c>
      <c r="D4" s="434">
        <f>+'Budget accounting'!B4*100</f>
        <v>-0.17265843020745753</v>
      </c>
      <c r="E4" s="434">
        <f>+'Budget accounting'!D4*100</f>
        <v>0.38705963150109834</v>
      </c>
      <c r="F4" s="433"/>
    </row>
    <row r="5" spans="1:6">
      <c r="A5" s="433" t="s">
        <v>298</v>
      </c>
      <c r="B5" s="434">
        <f>+'Budget accounting'!E5*100</f>
        <v>1.2058520244425732</v>
      </c>
      <c r="C5" s="434">
        <f>+'Budget accounting'!C5*100</f>
        <v>1.0408721237318772</v>
      </c>
      <c r="D5" s="434">
        <f>+'Budget accounting'!B5*100</f>
        <v>-0.26412535955323657</v>
      </c>
      <c r="E5" s="434">
        <f>+'Budget accounting'!D5*100</f>
        <v>0.42910526026393275</v>
      </c>
      <c r="F5" s="433"/>
    </row>
    <row r="6" spans="1:6">
      <c r="A6" s="433" t="s">
        <v>299</v>
      </c>
      <c r="B6" s="434">
        <f>+'Budget accounting'!E6*100</f>
        <v>2.7469213148907716</v>
      </c>
      <c r="C6" s="434">
        <f>+'Budget accounting'!C6*100</f>
        <v>1.2258669631175181</v>
      </c>
      <c r="D6" s="434">
        <f>+'Budget accounting'!B6*100</f>
        <v>0.80962257302164309</v>
      </c>
      <c r="E6" s="434">
        <f>+'Budget accounting'!D6*100</f>
        <v>0.71143177875161034</v>
      </c>
      <c r="F6" s="433"/>
    </row>
    <row r="7" spans="1:6">
      <c r="A7" s="433" t="s">
        <v>300</v>
      </c>
      <c r="B7" s="434">
        <f>+'Budget accounting'!E7*100</f>
        <v>2.8534366545325027</v>
      </c>
      <c r="C7" s="434">
        <f>+'Budget accounting'!C7*100</f>
        <v>0.56339370638831543</v>
      </c>
      <c r="D7" s="434">
        <f>+'Budget accounting'!B7*100</f>
        <v>1.4051061806163379</v>
      </c>
      <c r="E7" s="434">
        <f>+'Budget accounting'!D7*100</f>
        <v>0.88493676752784944</v>
      </c>
      <c r="F7" s="433"/>
    </row>
    <row r="8" spans="1:6">
      <c r="A8" s="433" t="s">
        <v>301</v>
      </c>
      <c r="B8" s="434">
        <f>+'Budget accounting'!E8*100</f>
        <v>2.2734566483472696</v>
      </c>
      <c r="C8" s="434">
        <f>+'Budget accounting'!C8*100</f>
        <v>-0.15464032586697263</v>
      </c>
      <c r="D8" s="434">
        <f>+'Budget accounting'!B8*100</f>
        <v>2.1045803996068724</v>
      </c>
      <c r="E8" s="434">
        <f>+'Budget accounting'!D8*100</f>
        <v>0.32351657460736977</v>
      </c>
      <c r="F8" s="433"/>
    </row>
    <row r="9" spans="1:6">
      <c r="A9" s="433" t="s">
        <v>302</v>
      </c>
      <c r="B9" s="434">
        <f>+'Budget accounting'!E9*100</f>
        <v>5.8755411507007347</v>
      </c>
      <c r="C9" s="434">
        <f>+'Budget accounting'!C9*100</f>
        <v>0.31272115559478342</v>
      </c>
      <c r="D9" s="434">
        <f>+'Budget accounting'!B9*100</f>
        <v>4.6861174502233238</v>
      </c>
      <c r="E9" s="434">
        <f>+'Budget accounting'!D9*100</f>
        <v>0.87670254488262711</v>
      </c>
      <c r="F9" s="433"/>
    </row>
    <row r="10" spans="1:6">
      <c r="A10" s="433" t="s">
        <v>303</v>
      </c>
      <c r="B10" s="434">
        <f>+'Budget accounting'!E10*100</f>
        <v>4.6250614623741102</v>
      </c>
      <c r="C10" s="434">
        <f>+'Budget accounting'!C10*100</f>
        <v>0.60283559832402389</v>
      </c>
      <c r="D10" s="434">
        <f>+'Budget accounting'!B10*100</f>
        <v>3.3272085846035888</v>
      </c>
      <c r="E10" s="434">
        <f>+'Budget accounting'!D10*100</f>
        <v>0.69501727944649749</v>
      </c>
      <c r="F10" s="433"/>
    </row>
    <row r="11" spans="1:6">
      <c r="A11" s="433" t="s">
        <v>304</v>
      </c>
      <c r="B11" s="434">
        <f>+'Budget accounting'!E11*100</f>
        <v>2.3665407836337886</v>
      </c>
      <c r="C11" s="434">
        <f>+'Budget accounting'!C11*100</f>
        <v>-0.38711649803380571</v>
      </c>
      <c r="D11" s="434">
        <f>+'Budget accounting'!B11*100</f>
        <v>2.2977785322287203</v>
      </c>
      <c r="E11" s="434">
        <f>+'Budget accounting'!D11*100</f>
        <v>0.4558787494388738</v>
      </c>
    </row>
    <row r="12" spans="1:6">
      <c r="A12" s="433" t="s">
        <v>305</v>
      </c>
      <c r="B12" s="434">
        <f>+'Budget accounting'!E12*100</f>
        <v>5.2811519462365428</v>
      </c>
      <c r="C12" s="434">
        <f>+'Budget accounting'!C12*100</f>
        <v>1.4818975768688347</v>
      </c>
      <c r="D12" s="434">
        <f>+'Budget accounting'!B12*100</f>
        <v>3.0352053546416577</v>
      </c>
      <c r="E12" s="434">
        <f>+'Budget accounting'!D12*100</f>
        <v>0.76404901472605047</v>
      </c>
    </row>
    <row r="13" spans="1:6">
      <c r="A13" s="433" t="s">
        <v>306</v>
      </c>
      <c r="B13" s="434">
        <f>+'Budget accounting'!E13*100</f>
        <v>2.2667009575272909</v>
      </c>
      <c r="C13" s="434">
        <f>+'Budget accounting'!C13*100</f>
        <v>3.9535807323587413E-2</v>
      </c>
      <c r="D13" s="434">
        <f>+'Budget accounting'!B13*100</f>
        <v>0.93998816031430377</v>
      </c>
      <c r="E13" s="434">
        <f>+'Budget accounting'!D13*100</f>
        <v>1.2871769898893997</v>
      </c>
    </row>
    <row r="14" spans="1:6">
      <c r="A14" s="433" t="s">
        <v>307</v>
      </c>
      <c r="B14" s="434">
        <f>+'Budget accounting'!E14*100</f>
        <v>2.6188868182900849</v>
      </c>
      <c r="C14" s="434">
        <f>+'Budget accounting'!C14*100</f>
        <v>1.2211151225587316</v>
      </c>
      <c r="D14" s="434">
        <f>+'Budget accounting'!B14*100</f>
        <v>-0.31031928046989049</v>
      </c>
      <c r="E14" s="434">
        <f>+'Budget accounting'!D14*100</f>
        <v>1.7080909762012437</v>
      </c>
    </row>
    <row r="15" spans="1:6">
      <c r="A15" s="433" t="s">
        <v>308</v>
      </c>
      <c r="B15" s="434">
        <f>+'Budget accounting'!E15*100</f>
        <v>-0.28283800818373273</v>
      </c>
      <c r="C15" s="434">
        <f>+'Budget accounting'!C15*100</f>
        <v>-0.11559127513697531</v>
      </c>
      <c r="D15" s="434">
        <f>+'Budget accounting'!B15*100</f>
        <v>-2.5761713873431651</v>
      </c>
      <c r="E15" s="434">
        <f>+'Budget accounting'!D15*100</f>
        <v>2.408924654296408</v>
      </c>
    </row>
    <row r="16" spans="1:6">
      <c r="A16" s="433" t="s">
        <v>309</v>
      </c>
      <c r="B16" s="434">
        <f>+'Budget accounting'!E16*100</f>
        <v>-0.69183480089607818</v>
      </c>
      <c r="C16" s="434">
        <f>+'Budget accounting'!C16*100</f>
        <v>-1.5830341406847221</v>
      </c>
      <c r="D16" s="434">
        <f>+'Budget accounting'!B16*100</f>
        <v>-2.2782966378222129</v>
      </c>
      <c r="E16" s="434">
        <f>+'Budget accounting'!D16*100</f>
        <v>3.1694959776108567</v>
      </c>
    </row>
    <row r="17" spans="1:5">
      <c r="A17" s="433" t="s">
        <v>310</v>
      </c>
      <c r="B17" s="434">
        <f>+'Budget accounting'!E17*100</f>
        <v>3.3279451790456114</v>
      </c>
      <c r="C17" s="434">
        <f>+'Budget accounting'!C17*100</f>
        <v>0.92330296668436396</v>
      </c>
      <c r="D17" s="434">
        <f>+'Budget accounting'!B17*100</f>
        <v>0.81716756276005253</v>
      </c>
      <c r="E17" s="434">
        <f>+'Budget accounting'!D17*100</f>
        <v>1.5874746496011949</v>
      </c>
    </row>
    <row r="18" spans="1:5">
      <c r="A18" s="433" t="s">
        <v>612</v>
      </c>
      <c r="B18" s="434">
        <f>+'Budget accounting'!E18*100</f>
        <v>7.9209173842786367</v>
      </c>
      <c r="C18" s="434">
        <f>+'Budget accounting'!C18*100</f>
        <v>0.62422654587475368</v>
      </c>
      <c r="D18" s="434">
        <f>+'Budget accounting'!B18*100</f>
        <v>6.0578810398579384</v>
      </c>
      <c r="E18" s="434">
        <f>+'Budget accounting'!D18*100</f>
        <v>1.2388097985459452</v>
      </c>
    </row>
    <row r="19" spans="1:5">
      <c r="A19" s="433" t="s">
        <v>613</v>
      </c>
      <c r="B19" s="434">
        <f>+'Budget accounting'!E19*100</f>
        <v>1.7338480535191683</v>
      </c>
      <c r="C19" s="434">
        <f>+'Budget accounting'!C19*100</f>
        <v>0.81595063159942971</v>
      </c>
      <c r="D19" s="434">
        <f>+'Budget accounting'!B19*100</f>
        <v>-1.4182319114315378</v>
      </c>
      <c r="E19" s="434">
        <f>+'Budget accounting'!D19*100</f>
        <v>2.3361293333512765</v>
      </c>
    </row>
    <row r="20" spans="1:5">
      <c r="A20" s="433" t="s">
        <v>614</v>
      </c>
      <c r="B20" s="434">
        <f>+'Budget accounting'!E20*100</f>
        <v>5.9547184536247313</v>
      </c>
      <c r="C20" s="434">
        <f>+'Budget accounting'!C20*100</f>
        <v>1.1762029541630692</v>
      </c>
      <c r="D20" s="434">
        <f>+'Budget accounting'!B20*100</f>
        <v>1.5228174044988416</v>
      </c>
      <c r="E20" s="434">
        <f>+'Budget accounting'!D20*100</f>
        <v>3.25569809496282</v>
      </c>
    </row>
    <row r="21" spans="1:5">
      <c r="A21" s="433" t="s">
        <v>615</v>
      </c>
      <c r="B21" s="434">
        <f>+'Budget accounting'!E21*100</f>
        <v>-1.0487296443988263</v>
      </c>
      <c r="C21" s="434">
        <f>+'Budget accounting'!C21*100</f>
        <v>-2.1492693229125335</v>
      </c>
      <c r="D21" s="434">
        <f>+'Budget accounting'!B21*100</f>
        <v>-4.0082669969513036</v>
      </c>
      <c r="E21" s="434">
        <f>+'Budget accounting'!D21*100</f>
        <v>5.1088066754650105</v>
      </c>
    </row>
    <row r="22" spans="1:5">
      <c r="A22" s="433" t="s">
        <v>616</v>
      </c>
      <c r="B22" s="434">
        <f>+'Budget accounting'!E22*100</f>
        <v>2.3399276690750921</v>
      </c>
      <c r="C22" s="434">
        <f>+'Budget accounting'!C22*100</f>
        <v>6.8539725022387366E-2</v>
      </c>
      <c r="D22" s="434">
        <f>+'Budget accounting'!B22*100</f>
        <v>-0.57147868380660827</v>
      </c>
      <c r="E22" s="434">
        <f>+'Budget accounting'!D22*100</f>
        <v>2.8428666278593129</v>
      </c>
    </row>
    <row r="23" spans="1:5">
      <c r="A23" s="433" t="s">
        <v>617</v>
      </c>
      <c r="B23" s="434">
        <f>+'Budget accounting'!E23*100</f>
        <v>-0.90632258256374731</v>
      </c>
      <c r="C23" s="434">
        <f>+'Budget accounting'!C23*100</f>
        <v>-0.91012260023319991</v>
      </c>
      <c r="D23" s="434">
        <f>+'Budget accounting'!B23*100</f>
        <v>-1.9656011078079989</v>
      </c>
      <c r="E23" s="434">
        <f>+'Budget accounting'!D23*100</f>
        <v>1.9694011254774515</v>
      </c>
    </row>
    <row r="24" spans="1:5">
      <c r="A24" s="433" t="s">
        <v>618</v>
      </c>
      <c r="B24" s="434">
        <f>+'Budget accounting'!E24*100</f>
        <v>5.7363660298877157</v>
      </c>
      <c r="C24" s="434">
        <f>+'Budget accounting'!C24*100</f>
        <v>-0.79667982739301535</v>
      </c>
      <c r="D24" s="434">
        <f>+'Budget accounting'!B24*100</f>
        <v>5.7125618680690371</v>
      </c>
      <c r="E24" s="434">
        <f>+'Budget accounting'!D24*100</f>
        <v>0.82048398921169308</v>
      </c>
    </row>
    <row r="25" spans="1:5">
      <c r="A25" s="433" t="s">
        <v>619</v>
      </c>
      <c r="B25" s="434">
        <f>+'Budget accounting'!E25*100</f>
        <v>13.477065701456304</v>
      </c>
      <c r="C25" s="434">
        <f>+'Budget accounting'!C25*100</f>
        <v>1.5484181013626406</v>
      </c>
      <c r="D25" s="434">
        <f>+'Budget accounting'!B25*100</f>
        <v>10.853616343278622</v>
      </c>
      <c r="E25" s="434">
        <f>+'Budget accounting'!D25*100</f>
        <v>1.07503125681504</v>
      </c>
    </row>
    <row r="26" spans="1:5">
      <c r="A26" s="433" t="s">
        <v>620</v>
      </c>
      <c r="B26" s="434">
        <f>+'Budget accounting'!E26*100</f>
        <v>7.520493499799052</v>
      </c>
      <c r="C26" s="434">
        <f>+'Budget accounting'!C26*100</f>
        <v>-0.61264056544320233</v>
      </c>
      <c r="D26" s="434">
        <f>+'Budget accounting'!B26*100</f>
        <v>4.9407682552534826</v>
      </c>
      <c r="E26" s="434">
        <f>+'Budget accounting'!D26*100</f>
        <v>3.1923658099887731</v>
      </c>
    </row>
    <row r="27" spans="1:5">
      <c r="A27" s="433" t="s">
        <v>621</v>
      </c>
      <c r="B27" s="434">
        <f>+'Budget accounting'!E27*100</f>
        <v>2.7783411825149869</v>
      </c>
      <c r="C27" s="434">
        <f>+'Budget accounting'!C27*100</f>
        <v>-1.1420453533956807</v>
      </c>
      <c r="D27" s="434">
        <f>+'Budget accounting'!B27*100</f>
        <v>1.2224871727259687</v>
      </c>
      <c r="E27" s="434">
        <f>+'Budget accounting'!D27*100</f>
        <v>2.6978993631846988</v>
      </c>
    </row>
    <row r="28" spans="1:5">
      <c r="A28" s="433" t="s">
        <v>622</v>
      </c>
      <c r="B28" s="434">
        <f>+'Budget accounting'!E28*100</f>
        <v>8.8214239383550108</v>
      </c>
      <c r="C28" s="434">
        <f>+'Budget accounting'!C28*100</f>
        <v>0.32290533242065184</v>
      </c>
      <c r="D28" s="434">
        <f>+'Budget accounting'!B28*100</f>
        <v>5.947057596196311</v>
      </c>
      <c r="E28" s="434">
        <f>+'Budget accounting'!D28*100</f>
        <v>2.5514610097380492</v>
      </c>
    </row>
    <row r="29" spans="1:5">
      <c r="A29" s="433" t="s">
        <v>623</v>
      </c>
      <c r="B29" s="434">
        <f>+'Budget accounting'!E29*100</f>
        <v>4.3650726803943023</v>
      </c>
      <c r="C29" s="434">
        <f>+'Budget accounting'!C29*100</f>
        <v>6.633658452361163E-2</v>
      </c>
      <c r="D29" s="434">
        <f>+'Budget accounting'!B29*100</f>
        <v>0.95347970233038026</v>
      </c>
      <c r="E29" s="434">
        <f>+'Budget accounting'!D29*100</f>
        <v>3.3452563935403106</v>
      </c>
    </row>
    <row r="30" spans="1:5">
      <c r="A30" s="433" t="s">
        <v>624</v>
      </c>
      <c r="B30" s="434">
        <f>+'Budget accounting'!E30*100</f>
        <v>-5.4086023888160657</v>
      </c>
      <c r="C30" s="434">
        <f>+'Budget accounting'!C30*100</f>
        <v>-1.0351083663226208</v>
      </c>
      <c r="D30" s="434">
        <f>+'Budget accounting'!B30*100</f>
        <v>-6.5634514431748929</v>
      </c>
      <c r="E30" s="434">
        <f>+'Budget accounting'!D30*100</f>
        <v>2.1899574206814481</v>
      </c>
    </row>
    <row r="31" spans="1:5">
      <c r="A31" s="433" t="s">
        <v>625</v>
      </c>
      <c r="B31" s="434">
        <f>+'Budget accounting'!E31*100</f>
        <v>0.76189647520618076</v>
      </c>
      <c r="C31" s="434">
        <f>+'Budget accounting'!C31*100</f>
        <v>-1.0542688488984848</v>
      </c>
      <c r="D31" s="434">
        <f>+'Budget accounting'!B31*100</f>
        <v>-0.99863445887190294</v>
      </c>
      <c r="E31" s="434">
        <f>+'Budget accounting'!D31*100</f>
        <v>2.8147997829765683</v>
      </c>
    </row>
    <row r="32" spans="1:5">
      <c r="A32" s="433" t="s">
        <v>626</v>
      </c>
      <c r="B32" s="434">
        <f>+'Budget accounting'!E32*100</f>
        <v>-9.3562000947730812</v>
      </c>
      <c r="C32" s="434">
        <f>+'Budget accounting'!C32*100</f>
        <v>-1.4656627569595126</v>
      </c>
      <c r="D32" s="434">
        <f>+'Budget accounting'!B32*100</f>
        <v>-10.983237849501723</v>
      </c>
      <c r="E32" s="434">
        <f>+'Budget accounting'!D32*100</f>
        <v>3.0927005116881534</v>
      </c>
    </row>
    <row r="33" spans="1:5">
      <c r="A33" s="433" t="s">
        <v>627</v>
      </c>
      <c r="B33" s="434">
        <f>+'Budget accounting'!E33*100</f>
        <v>-0.91428907168812024</v>
      </c>
      <c r="C33" s="434">
        <f>+'Budget accounting'!C33*100</f>
        <v>-0.38289264244923821</v>
      </c>
      <c r="D33" s="434">
        <f>+'Budget accounting'!B33*100</f>
        <v>-1.5924107968293795</v>
      </c>
      <c r="E33" s="434">
        <f>+'Budget accounting'!D33*100</f>
        <v>1.0610143675904975</v>
      </c>
    </row>
    <row r="34" spans="1:5">
      <c r="A34" s="433" t="s">
        <v>628</v>
      </c>
      <c r="B34" s="434">
        <f>+'Budget accounting'!E34*100</f>
        <v>-4.7469358081965316</v>
      </c>
      <c r="C34" s="434">
        <f>+'Budget accounting'!C34*100</f>
        <v>0.97094365876384259</v>
      </c>
      <c r="D34" s="434">
        <f>+'Budget accounting'!B34*100</f>
        <v>-6.9461878659942595</v>
      </c>
      <c r="E34" s="434">
        <f>+'Budget accounting'!D34*100</f>
        <v>1.2283083990338857</v>
      </c>
    </row>
    <row r="35" spans="1:5">
      <c r="A35" s="433" t="s">
        <v>629</v>
      </c>
      <c r="B35" s="434">
        <f>+'Budget accounting'!E35*100</f>
        <v>0.30532710929417234</v>
      </c>
      <c r="C35" s="434">
        <f>+'Budget accounting'!C35*100</f>
        <v>-7.0052493455909082E-2</v>
      </c>
      <c r="D35" s="434">
        <f>+'Budget accounting'!B35*100</f>
        <v>-1.3763623460019228</v>
      </c>
      <c r="E35" s="434">
        <f>+'Budget accounting'!D35*100</f>
        <v>1.7517419487520041</v>
      </c>
    </row>
    <row r="36" spans="1:5">
      <c r="A36" s="433" t="s">
        <v>630</v>
      </c>
      <c r="B36" s="434">
        <f>+'Budget accounting'!E36*100</f>
        <v>1.4410092163437898</v>
      </c>
      <c r="C36" s="434">
        <f>+'Budget accounting'!C36*100</f>
        <v>0.6233067811927645</v>
      </c>
      <c r="D36" s="434">
        <f>+'Budget accounting'!B36*100</f>
        <v>-0.82504889222593425</v>
      </c>
      <c r="E36" s="434">
        <f>+'Budget accounting'!D36*100</f>
        <v>1.6427513273769594</v>
      </c>
    </row>
    <row r="37" spans="1:5">
      <c r="A37" s="433" t="s">
        <v>631</v>
      </c>
      <c r="B37" s="434">
        <f>+'Budget accounting'!E37*100</f>
        <v>2.2954908873345481</v>
      </c>
      <c r="C37" s="434">
        <f>+'Budget accounting'!C37*100</f>
        <v>0.32749872924294626</v>
      </c>
      <c r="D37" s="434">
        <f>+'Budget accounting'!B37*100</f>
        <v>0.59749550704232923</v>
      </c>
      <c r="E37" s="434">
        <f>+'Budget accounting'!D37*100</f>
        <v>1.3704966510492729</v>
      </c>
    </row>
    <row r="38" spans="1:5">
      <c r="A38" s="433" t="s">
        <v>311</v>
      </c>
      <c r="B38" s="434">
        <f>+'Budget accounting'!E38*100</f>
        <v>-0.74213657121039223</v>
      </c>
      <c r="C38" s="434">
        <f>+'Budget accounting'!C38*100</f>
        <v>-0.81917300061040699</v>
      </c>
      <c r="D38" s="434">
        <f>+'Budget accounting'!B38*100</f>
        <v>-0.75734334959832217</v>
      </c>
      <c r="E38" s="434">
        <f>+'Budget accounting'!D38*100</f>
        <v>0.83437977899833682</v>
      </c>
    </row>
    <row r="39" spans="1:5">
      <c r="A39" s="433" t="s">
        <v>312</v>
      </c>
      <c r="B39" s="434">
        <f>+'Budget accounting'!E39*100</f>
        <v>0.82485436645148258</v>
      </c>
      <c r="C39" s="434">
        <f>+'Budget accounting'!C39*100</f>
        <v>-2.0910061035459004E-2</v>
      </c>
      <c r="D39" s="434">
        <f>+'Budget accounting'!B39*100</f>
        <v>2.7606559905471201E-2</v>
      </c>
      <c r="E39" s="434">
        <f>+'Budget accounting'!D39*100</f>
        <v>0.81815786758147024</v>
      </c>
    </row>
    <row r="40" spans="1:5">
      <c r="A40" s="433" t="s">
        <v>313</v>
      </c>
      <c r="B40" s="434">
        <f>+'Budget accounting'!E40*100</f>
        <v>2.5037898432885028</v>
      </c>
      <c r="C40" s="434">
        <f>+'Budget accounting'!C40*100</f>
        <v>-0.36352694890445653</v>
      </c>
      <c r="D40" s="434">
        <f>+'Budget accounting'!B40*100</f>
        <v>1.7841784936082443</v>
      </c>
      <c r="E40" s="434">
        <f>+'Budget accounting'!D40*100</f>
        <v>1.0831382985847151</v>
      </c>
    </row>
    <row r="41" spans="1:5">
      <c r="A41" s="433" t="s">
        <v>314</v>
      </c>
      <c r="B41" s="434">
        <f>+'Budget accounting'!E41*100</f>
        <v>6.6877480632147046</v>
      </c>
      <c r="C41" s="434">
        <f>+'Budget accounting'!C41*100</f>
        <v>9.2753640442344576E-2</v>
      </c>
      <c r="D41" s="434">
        <f>+'Budget accounting'!B41*100</f>
        <v>6.2870148703513751</v>
      </c>
      <c r="E41" s="434">
        <f>+'Budget accounting'!D41*100</f>
        <v>0.30797955242098513</v>
      </c>
    </row>
    <row r="42" spans="1:5">
      <c r="A42" s="433" t="s">
        <v>315</v>
      </c>
      <c r="B42" s="434">
        <f>+'Budget accounting'!E42*100</f>
        <v>0.85762977335035528</v>
      </c>
      <c r="C42" s="434">
        <f>+'Budget accounting'!C42*100</f>
        <v>-0.79596053561067914</v>
      </c>
      <c r="D42" s="434">
        <f>+'Budget accounting'!B42*100</f>
        <v>1.1817289710687002</v>
      </c>
      <c r="E42" s="434">
        <f>+'Budget accounting'!D42*100</f>
        <v>0.47186133789233425</v>
      </c>
    </row>
    <row r="43" spans="1:5">
      <c r="A43" s="433" t="s">
        <v>316</v>
      </c>
      <c r="B43" s="434">
        <f>+'Budget accounting'!E43*100</f>
        <v>6.0515216004407638E-4</v>
      </c>
      <c r="C43" s="434">
        <f>+'Budget accounting'!C43*100</f>
        <v>-0.29344608592270921</v>
      </c>
      <c r="D43" s="434">
        <f>+'Budget accounting'!B43*100</f>
        <v>-0.21919613646428851</v>
      </c>
      <c r="E43" s="434">
        <f>+'Budget accounting'!D43*100</f>
        <v>0.51324737454704172</v>
      </c>
    </row>
    <row r="44" spans="1:5">
      <c r="A44" s="433" t="s">
        <v>317</v>
      </c>
      <c r="B44" s="434">
        <f>+'Budget accounting'!E44*100</f>
        <v>1.8582348027188431</v>
      </c>
      <c r="C44" s="434">
        <f>+'Budget accounting'!C44*100</f>
        <v>-1.0143324751888303</v>
      </c>
      <c r="D44" s="434">
        <f>+'Budget accounting'!B44*100</f>
        <v>1.9694237821427609</v>
      </c>
      <c r="E44" s="434">
        <f>+'Budget accounting'!D44*100</f>
        <v>0.90314349576491226</v>
      </c>
    </row>
    <row r="45" spans="1:5">
      <c r="A45" s="433" t="s">
        <v>318</v>
      </c>
      <c r="B45" s="434">
        <f>+'Budget accounting'!E45*100</f>
        <v>2.920789577317521</v>
      </c>
      <c r="C45" s="434">
        <f>+'Budget accounting'!C45*100</f>
        <v>2.1132760714238619</v>
      </c>
      <c r="D45" s="434">
        <f>+'Budget accounting'!B45*100</f>
        <v>6.0460901287227475E-2</v>
      </c>
      <c r="E45" s="434">
        <f>+'Budget accounting'!D45*100</f>
        <v>0.74705260460643141</v>
      </c>
    </row>
    <row r="46" spans="1:5">
      <c r="A46" s="433" t="s">
        <v>632</v>
      </c>
      <c r="B46" s="434">
        <f>+'Budget accounting'!E46*100</f>
        <v>-3.7449696163558497</v>
      </c>
      <c r="C46" s="434">
        <f>+'Budget accounting'!C46*100</f>
        <v>0.28018435536893288</v>
      </c>
      <c r="D46" s="434">
        <f>+'Budget accounting'!B46*100</f>
        <v>-4.559181812452759</v>
      </c>
      <c r="E46" s="434">
        <f>+'Budget accounting'!D46*100</f>
        <v>0.53402784072797649</v>
      </c>
    </row>
    <row r="47" spans="1:5">
      <c r="A47" s="433" t="s">
        <v>633</v>
      </c>
      <c r="B47" s="434">
        <f>+'Budget accounting'!E47*100</f>
        <v>-3.6990917059972164</v>
      </c>
      <c r="C47" s="434">
        <f>+'Budget accounting'!C47*100</f>
        <v>-0.60099850460981341</v>
      </c>
      <c r="D47" s="434">
        <f>+'Budget accounting'!B47*100</f>
        <v>-4.0180024048508063</v>
      </c>
      <c r="E47" s="434">
        <f>+'Budget accounting'!D47*100</f>
        <v>0.91990920346340344</v>
      </c>
    </row>
    <row r="48" spans="1:5">
      <c r="A48" s="433" t="s">
        <v>634</v>
      </c>
      <c r="B48" s="434">
        <f>+'Budget accounting'!E48*100</f>
        <v>-0.32961605636981706</v>
      </c>
      <c r="C48" s="434">
        <f>+'Budget accounting'!C48*100</f>
        <v>0.12487325891835099</v>
      </c>
      <c r="D48" s="434">
        <f>+'Budget accounting'!B48*100</f>
        <v>-1.6468868539083827</v>
      </c>
      <c r="E48" s="434">
        <f>+'Budget accounting'!D48*100</f>
        <v>1.1923975386202146</v>
      </c>
    </row>
    <row r="49" spans="1:5">
      <c r="A49" s="433" t="s">
        <v>635</v>
      </c>
      <c r="B49" s="434">
        <f>+'Budget accounting'!E49*100</f>
        <v>-0.22370185378308272</v>
      </c>
      <c r="C49" s="434">
        <f>+'Budget accounting'!C49*100</f>
        <v>1.3453397111602414</v>
      </c>
      <c r="D49" s="434">
        <f>+'Budget accounting'!B49*100</f>
        <v>-2.4059529194517308</v>
      </c>
      <c r="E49" s="434">
        <f>+'Budget accounting'!D49*100</f>
        <v>0.8369113545084067</v>
      </c>
    </row>
    <row r="50" spans="1:5">
      <c r="A50" s="433" t="s">
        <v>636</v>
      </c>
      <c r="B50" s="434">
        <f>+'Budget accounting'!E50*100</f>
        <v>0.67704187164115692</v>
      </c>
      <c r="C50" s="434">
        <f>+'Budget accounting'!C50*100</f>
        <v>0.10601917844805797</v>
      </c>
      <c r="D50" s="434">
        <f>+'Budget accounting'!B50*100</f>
        <v>-0.59863466906173268</v>
      </c>
      <c r="E50" s="434">
        <f>+'Budget accounting'!D50*100</f>
        <v>1.1696573622548316</v>
      </c>
    </row>
    <row r="51" spans="1:5">
      <c r="A51" s="433" t="s">
        <v>637</v>
      </c>
      <c r="B51" s="434">
        <f>+'Budget accounting'!E51*100</f>
        <v>3.1817506375597118</v>
      </c>
      <c r="C51" s="434">
        <f>+'Budget accounting'!C51*100</f>
        <v>3.4075699503982775</v>
      </c>
      <c r="D51" s="434">
        <f>+'Budget accounting'!B51*100</f>
        <v>-1.5660562680784453E-2</v>
      </c>
      <c r="E51" s="434">
        <f>+'Budget accounting'!D51*100</f>
        <v>-0.21015875015778082</v>
      </c>
    </row>
    <row r="52" spans="1:5">
      <c r="A52" s="433" t="s">
        <v>638</v>
      </c>
      <c r="B52" s="434">
        <f>+'Budget accounting'!E52*100</f>
        <v>-1.3953588570318223</v>
      </c>
      <c r="C52" s="434">
        <f>+'Budget accounting'!C52*100</f>
        <v>-2.0203431365306987</v>
      </c>
      <c r="D52" s="434">
        <f>+'Budget accounting'!B52*100</f>
        <v>-1.6258867576742382</v>
      </c>
      <c r="E52" s="434">
        <f>+'Budget accounting'!D52*100</f>
        <v>2.2508710371731149</v>
      </c>
    </row>
    <row r="53" spans="1:5">
      <c r="A53" s="433" t="s">
        <v>639</v>
      </c>
      <c r="B53" s="434">
        <f>+'Budget accounting'!E53*100</f>
        <v>-0.18965813159505118</v>
      </c>
      <c r="C53" s="434">
        <f>+'Budget accounting'!C53*100</f>
        <v>0.20337195200733765</v>
      </c>
      <c r="D53" s="434">
        <f>+'Budget accounting'!B53*100</f>
        <v>-1.3316612489383015</v>
      </c>
      <c r="E53" s="434">
        <f>+'Budget accounting'!D53*100</f>
        <v>0.93863116533591273</v>
      </c>
    </row>
    <row r="54" spans="1:5">
      <c r="A54" s="433" t="s">
        <v>640</v>
      </c>
      <c r="B54" s="434">
        <f>+'Budget accounting'!E54*100</f>
        <v>1.5426972317139507</v>
      </c>
      <c r="C54" s="434">
        <f>+'Budget accounting'!C54*100</f>
        <v>1.4635595095278773</v>
      </c>
      <c r="D54" s="434">
        <f>+'Budget accounting'!B54*100</f>
        <v>-0.20956761847762731</v>
      </c>
      <c r="E54" s="434">
        <f>+'Budget accounting'!D54*100</f>
        <v>0.28870534066370074</v>
      </c>
    </row>
    <row r="55" spans="1:5">
      <c r="A55" s="433" t="s">
        <v>641</v>
      </c>
      <c r="B55" s="434">
        <f>+'Budget accounting'!E55*100</f>
        <v>0.32434442702779021</v>
      </c>
      <c r="C55" s="434">
        <f>+'Budget accounting'!C55*100</f>
        <v>-1.9702199769829205</v>
      </c>
      <c r="D55" s="434">
        <f>+'Budget accounting'!B55*100</f>
        <v>0.34443754216550498</v>
      </c>
      <c r="E55" s="434">
        <f>+'Budget accounting'!D55*100</f>
        <v>1.9501268618452055</v>
      </c>
    </row>
    <row r="56" spans="1:5">
      <c r="A56" s="433" t="s">
        <v>642</v>
      </c>
      <c r="B56" s="434">
        <f>+'Budget accounting'!E56*100</f>
        <v>4.4327531632027632</v>
      </c>
      <c r="C56" s="434">
        <f>+'Budget accounting'!C56*100</f>
        <v>6.9259040088752444E-2</v>
      </c>
      <c r="D56" s="434">
        <f>+'Budget accounting'!B56*100</f>
        <v>3.4830587822603398</v>
      </c>
      <c r="E56" s="434">
        <f>+'Budget accounting'!D56*100</f>
        <v>0.88043534085367092</v>
      </c>
    </row>
    <row r="57" spans="1:5">
      <c r="A57" s="433" t="s">
        <v>643</v>
      </c>
      <c r="B57" s="434">
        <f>+'Budget accounting'!E57*100</f>
        <v>2.0298856516077666</v>
      </c>
      <c r="C57" s="434">
        <f>+'Budget accounting'!C57*100</f>
        <v>-1.9896929717680423E-2</v>
      </c>
      <c r="D57" s="434">
        <f>+'Budget accounting'!B57*100</f>
        <v>1.4355268087399755</v>
      </c>
      <c r="E57" s="434">
        <f>+'Budget accounting'!D57*100</f>
        <v>0.61425577258547115</v>
      </c>
    </row>
    <row r="58" spans="1:5">
      <c r="A58" s="433"/>
      <c r="B58" s="432"/>
      <c r="C58" s="432"/>
    </row>
    <row r="59" spans="1:5">
      <c r="A59" s="433"/>
      <c r="B59" s="432"/>
    </row>
    <row r="60" spans="1:5">
      <c r="A60" s="433"/>
    </row>
    <row r="61" spans="1:5">
      <c r="A61" s="433"/>
    </row>
    <row r="62" spans="1:5">
      <c r="A62" s="433"/>
    </row>
    <row r="63" spans="1:5">
      <c r="A63" s="433"/>
    </row>
    <row r="64" spans="1:5">
      <c r="A64" s="433"/>
    </row>
    <row r="65" spans="1:1">
      <c r="A65" s="433"/>
    </row>
    <row r="66" spans="1:1">
      <c r="A66" s="433"/>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heetViews>
  <sheetFormatPr defaultColWidth="9.109375" defaultRowHeight="14.4"/>
  <cols>
    <col min="1" max="16384" width="9.109375" style="236"/>
  </cols>
  <sheetData>
    <row r="1" spans="1:6">
      <c r="A1" s="236" t="s">
        <v>607</v>
      </c>
      <c r="B1" s="236" t="s">
        <v>1346</v>
      </c>
    </row>
    <row r="3" spans="1:6">
      <c r="B3" s="236" t="s">
        <v>1332</v>
      </c>
      <c r="C3" s="236" t="s">
        <v>1347</v>
      </c>
      <c r="D3" s="236" t="s">
        <v>1348</v>
      </c>
    </row>
    <row r="4" spans="1:6">
      <c r="A4" s="433" t="s">
        <v>297</v>
      </c>
      <c r="B4" s="434">
        <f>+'Budget accounting'!I4*100</f>
        <v>-0.20180736423986234</v>
      </c>
      <c r="C4" s="434">
        <f>+'Budget accounting'!G4*100</f>
        <v>0.3613138928024075</v>
      </c>
      <c r="D4" s="434">
        <f>+'Budget accounting'!H4*100</f>
        <v>-0.5631212570422699</v>
      </c>
      <c r="E4" s="434"/>
      <c r="F4" s="433"/>
    </row>
    <row r="5" spans="1:6">
      <c r="A5" s="433" t="s">
        <v>298</v>
      </c>
      <c r="B5" s="434">
        <f>+'Budget accounting'!I5*100</f>
        <v>1.2058520244425732</v>
      </c>
      <c r="C5" s="434">
        <f>+'Budget accounting'!G5*100</f>
        <v>0.987351889755823</v>
      </c>
      <c r="D5" s="434">
        <f>+'Budget accounting'!H5*100</f>
        <v>0.21850013468675022</v>
      </c>
      <c r="E5" s="434"/>
      <c r="F5" s="433"/>
    </row>
    <row r="6" spans="1:6">
      <c r="A6" s="433" t="s">
        <v>299</v>
      </c>
      <c r="B6" s="434">
        <f>+'Budget accounting'!I6*100</f>
        <v>2.7469213148907716</v>
      </c>
      <c r="C6" s="434">
        <f>+'Budget accounting'!G6*100</f>
        <v>0.78337640084323523</v>
      </c>
      <c r="D6" s="434">
        <f>+'Budget accounting'!H6*100</f>
        <v>1.9635449140475363</v>
      </c>
      <c r="E6" s="434"/>
      <c r="F6" s="433"/>
    </row>
    <row r="7" spans="1:6">
      <c r="A7" s="433" t="s">
        <v>300</v>
      </c>
      <c r="B7" s="434">
        <f>+'Budget accounting'!I7*100</f>
        <v>2.8534366545325027</v>
      </c>
      <c r="C7" s="434">
        <f>+'Budget accounting'!G7*100</f>
        <v>3.6496103459517537E-2</v>
      </c>
      <c r="D7" s="434">
        <f>+'Budget accounting'!H7*100</f>
        <v>2.8169405510729852</v>
      </c>
      <c r="E7" s="434"/>
      <c r="F7" s="433"/>
    </row>
    <row r="8" spans="1:6">
      <c r="A8" s="433" t="s">
        <v>301</v>
      </c>
      <c r="B8" s="434">
        <f>+'Budget accounting'!I8*100</f>
        <v>2.2734566483472696</v>
      </c>
      <c r="C8" s="434">
        <f>+'Budget accounting'!G8*100</f>
        <v>1.5985920745995439</v>
      </c>
      <c r="D8" s="434">
        <f>+'Budget accounting'!H8*100</f>
        <v>0.67486457374772568</v>
      </c>
      <c r="E8" s="434"/>
      <c r="F8" s="433"/>
    </row>
    <row r="9" spans="1:6">
      <c r="A9" s="433" t="s">
        <v>302</v>
      </c>
      <c r="B9" s="434">
        <f>+'Budget accounting'!I9*100</f>
        <v>5.8755411507007347</v>
      </c>
      <c r="C9" s="434">
        <f>+'Budget accounting'!G9*100</f>
        <v>4.6463442237513659</v>
      </c>
      <c r="D9" s="434">
        <f>+'Budget accounting'!H9*100</f>
        <v>1.2291969269493692</v>
      </c>
      <c r="E9" s="434"/>
      <c r="F9" s="433"/>
    </row>
    <row r="10" spans="1:6">
      <c r="A10" s="433" t="s">
        <v>303</v>
      </c>
      <c r="B10" s="434">
        <f>+'Budget accounting'!I10*100</f>
        <v>4.6250614623741102</v>
      </c>
      <c r="C10" s="434">
        <f>+'Budget accounting'!G10*100</f>
        <v>3.4483804746657536</v>
      </c>
      <c r="D10" s="434">
        <f>+'Budget accounting'!H10*100</f>
        <v>1.1766809877083568</v>
      </c>
      <c r="E10" s="434"/>
      <c r="F10" s="433"/>
    </row>
    <row r="11" spans="1:6">
      <c r="A11" s="433" t="s">
        <v>304</v>
      </c>
      <c r="B11" s="434">
        <f>+'Budget accounting'!I11*100</f>
        <v>2.3665407836337886</v>
      </c>
      <c r="C11" s="434">
        <f>+'Budget accounting'!G11*100</f>
        <v>1.4884562474178105</v>
      </c>
      <c r="D11" s="434">
        <f>+'Budget accounting'!H11*100</f>
        <v>0.87808453621597837</v>
      </c>
      <c r="E11" s="434"/>
    </row>
    <row r="12" spans="1:6">
      <c r="A12" s="433" t="s">
        <v>305</v>
      </c>
      <c r="B12" s="434">
        <f>+'Budget accounting'!I12*100</f>
        <v>5.2811519462365428</v>
      </c>
      <c r="C12" s="434">
        <f>+'Budget accounting'!G12*100</f>
        <v>0.92488782231589672</v>
      </c>
      <c r="D12" s="434">
        <f>+'Budget accounting'!H12*100</f>
        <v>4.3562641239206465</v>
      </c>
      <c r="E12" s="434"/>
    </row>
    <row r="13" spans="1:6">
      <c r="A13" s="433" t="s">
        <v>306</v>
      </c>
      <c r="B13" s="434">
        <f>+'Budget accounting'!I13*100</f>
        <v>2.2667009575272909</v>
      </c>
      <c r="C13" s="434">
        <f>+'Budget accounting'!G13*100</f>
        <v>2.0753203970370699</v>
      </c>
      <c r="D13" s="434">
        <f>+'Budget accounting'!H13*100</f>
        <v>0.19138056049022092</v>
      </c>
      <c r="E13" s="434"/>
    </row>
    <row r="14" spans="1:6">
      <c r="A14" s="433" t="s">
        <v>307</v>
      </c>
      <c r="B14" s="434">
        <f>+'Budget accounting'!I14*100</f>
        <v>2.6188868182900849</v>
      </c>
      <c r="C14" s="434">
        <f>+'Budget accounting'!G14*100</f>
        <v>3.2757121501925579</v>
      </c>
      <c r="D14" s="434">
        <f>+'Budget accounting'!H14*100</f>
        <v>-0.65682533190247294</v>
      </c>
      <c r="E14" s="434"/>
    </row>
    <row r="15" spans="1:6">
      <c r="A15" s="433" t="s">
        <v>308</v>
      </c>
      <c r="B15" s="434">
        <f>+'Budget accounting'!I15*100</f>
        <v>-0.28283800818373289</v>
      </c>
      <c r="C15" s="434">
        <f>+'Budget accounting'!G15*100</f>
        <v>1.436118607515152</v>
      </c>
      <c r="D15" s="434">
        <f>+'Budget accounting'!H15*100</f>
        <v>-1.7189566156988849</v>
      </c>
      <c r="E15" s="434"/>
    </row>
    <row r="16" spans="1:6">
      <c r="A16" s="433" t="s">
        <v>309</v>
      </c>
      <c r="B16" s="434">
        <f>+'Budget accounting'!I16*100</f>
        <v>-0.69183480089607818</v>
      </c>
      <c r="C16" s="434">
        <f>+'Budget accounting'!G16*100</f>
        <v>0.31484864690664921</v>
      </c>
      <c r="D16" s="434">
        <f>+'Budget accounting'!H16*100</f>
        <v>-1.0066834478027273</v>
      </c>
      <c r="E16" s="434"/>
    </row>
    <row r="17" spans="1:5">
      <c r="A17" s="433" t="s">
        <v>310</v>
      </c>
      <c r="B17" s="434">
        <f>+'Budget accounting'!I17*100</f>
        <v>3.3279451790456114</v>
      </c>
      <c r="C17" s="434">
        <f>+'Budget accounting'!G17*100</f>
        <v>4.5265865912841665</v>
      </c>
      <c r="D17" s="434">
        <f>+'Budget accounting'!H17*100</f>
        <v>-1.1986414122385554</v>
      </c>
      <c r="E17" s="434"/>
    </row>
    <row r="18" spans="1:5">
      <c r="A18" s="433" t="s">
        <v>612</v>
      </c>
      <c r="B18" s="434">
        <f>+'Budget accounting'!I18*100</f>
        <v>7.9209173842786367</v>
      </c>
      <c r="C18" s="434">
        <f>+'Budget accounting'!G18*100</f>
        <v>0.34036705185693517</v>
      </c>
      <c r="D18" s="434">
        <f>+'Budget accounting'!H18*100</f>
        <v>7.5805503324217014</v>
      </c>
      <c r="E18" s="434"/>
    </row>
    <row r="19" spans="1:5">
      <c r="A19" s="433" t="s">
        <v>613</v>
      </c>
      <c r="B19" s="434">
        <f>+'Budget accounting'!I19*100</f>
        <v>1.7338480535191683</v>
      </c>
      <c r="C19" s="434">
        <f>+'Budget accounting'!G19*100</f>
        <v>0.27141826157432664</v>
      </c>
      <c r="D19" s="434">
        <f>+'Budget accounting'!H19*100</f>
        <v>1.4624297919448417</v>
      </c>
      <c r="E19" s="434"/>
    </row>
    <row r="20" spans="1:5">
      <c r="A20" s="433" t="s">
        <v>614</v>
      </c>
      <c r="B20" s="434">
        <f>+'Budget accounting'!I20*100</f>
        <v>5.9547184536247322</v>
      </c>
      <c r="C20" s="434">
        <f>+'Budget accounting'!G20*100</f>
        <v>-0.31522096117258358</v>
      </c>
      <c r="D20" s="434">
        <f>+'Budget accounting'!H20*100</f>
        <v>6.2699394147973155</v>
      </c>
      <c r="E20" s="434"/>
    </row>
    <row r="21" spans="1:5">
      <c r="A21" s="433" t="s">
        <v>615</v>
      </c>
      <c r="B21" s="434">
        <f>+'Budget accounting'!I21*100</f>
        <v>-1.0487296443988263</v>
      </c>
      <c r="C21" s="434">
        <f>+'Budget accounting'!G21*100</f>
        <v>-1.6188823856589221</v>
      </c>
      <c r="D21" s="434">
        <f>+'Budget accounting'!H21*100</f>
        <v>0.57015274126009585</v>
      </c>
      <c r="E21" s="434"/>
    </row>
    <row r="22" spans="1:5">
      <c r="A22" s="433" t="s">
        <v>616</v>
      </c>
      <c r="B22" s="434">
        <f>+'Budget accounting'!I22*100</f>
        <v>2.3399276690750916</v>
      </c>
      <c r="C22" s="434">
        <f>+'Budget accounting'!G22*100</f>
        <v>-0.39105873964193472</v>
      </c>
      <c r="D22" s="434">
        <f>+'Budget accounting'!H22*100</f>
        <v>2.7309864087170266</v>
      </c>
      <c r="E22" s="434"/>
    </row>
    <row r="23" spans="1:5">
      <c r="A23" s="433" t="s">
        <v>617</v>
      </c>
      <c r="B23" s="434">
        <f>+'Budget accounting'!I23*100</f>
        <v>-0.90632258256374731</v>
      </c>
      <c r="C23" s="434">
        <f>+'Budget accounting'!G23*100</f>
        <v>2.998725734357043</v>
      </c>
      <c r="D23" s="434">
        <f>+'Budget accounting'!H23*100</f>
        <v>-3.9050483169207904</v>
      </c>
      <c r="E23" s="434"/>
    </row>
    <row r="24" spans="1:5">
      <c r="A24" s="433" t="s">
        <v>618</v>
      </c>
      <c r="B24" s="434">
        <f>+'Budget accounting'!I24*100</f>
        <v>5.7363660298877157</v>
      </c>
      <c r="C24" s="434">
        <f>+'Budget accounting'!G24*100</f>
        <v>1.1159826291363382</v>
      </c>
      <c r="D24" s="434">
        <f>+'Budget accounting'!H24*100</f>
        <v>4.6203834007513773</v>
      </c>
      <c r="E24" s="434"/>
    </row>
    <row r="25" spans="1:5">
      <c r="A25" s="433" t="s">
        <v>619</v>
      </c>
      <c r="B25" s="434">
        <f>+'Budget accounting'!I25*100</f>
        <v>13.477065701456304</v>
      </c>
      <c r="C25" s="434">
        <f>+'Budget accounting'!G25*100</f>
        <v>5.2643284437978277</v>
      </c>
      <c r="D25" s="434">
        <f>+'Budget accounting'!H25*100</f>
        <v>8.2127372576584747</v>
      </c>
      <c r="E25" s="434"/>
    </row>
    <row r="26" spans="1:5">
      <c r="A26" s="433" t="s">
        <v>620</v>
      </c>
      <c r="B26" s="434">
        <f>+'Budget accounting'!I26*100</f>
        <v>7.520493499799052</v>
      </c>
      <c r="C26" s="434">
        <f>+'Budget accounting'!G26*100</f>
        <v>7.9750207562674769</v>
      </c>
      <c r="D26" s="434">
        <f>+'Budget accounting'!H26*100</f>
        <v>-0.45452725646842468</v>
      </c>
      <c r="E26" s="434"/>
    </row>
    <row r="27" spans="1:5">
      <c r="A27" s="433" t="s">
        <v>621</v>
      </c>
      <c r="B27" s="434">
        <f>+'Budget accounting'!I27*100</f>
        <v>2.7783411825149869</v>
      </c>
      <c r="C27" s="434">
        <f>+'Budget accounting'!G27*100</f>
        <v>4.7965811282529272</v>
      </c>
      <c r="D27" s="434">
        <f>+'Budget accounting'!H27*100</f>
        <v>-2.0182399457379407</v>
      </c>
      <c r="E27" s="434"/>
    </row>
    <row r="28" spans="1:5">
      <c r="A28" s="433" t="s">
        <v>622</v>
      </c>
      <c r="B28" s="434">
        <f>+'Budget accounting'!I28*100</f>
        <v>8.8214239383550108</v>
      </c>
      <c r="C28" s="434">
        <f>+'Budget accounting'!G28*100</f>
        <v>3.1219422971784123</v>
      </c>
      <c r="D28" s="434">
        <f>+'Budget accounting'!H28*100</f>
        <v>5.6994816411765985</v>
      </c>
      <c r="E28" s="434"/>
    </row>
    <row r="29" spans="1:5">
      <c r="A29" s="433" t="s">
        <v>623</v>
      </c>
      <c r="B29" s="434">
        <f>+'Budget accounting'!I29*100</f>
        <v>4.3650726803943023</v>
      </c>
      <c r="C29" s="434">
        <f>+'Budget accounting'!G29*100</f>
        <v>1.1496706780571468</v>
      </c>
      <c r="D29" s="434">
        <f>+'Budget accounting'!H29*100</f>
        <v>3.2154020023371559</v>
      </c>
      <c r="E29" s="434"/>
    </row>
    <row r="30" spans="1:5">
      <c r="A30" s="433" t="s">
        <v>624</v>
      </c>
      <c r="B30" s="434">
        <f>+'Budget accounting'!I30*100</f>
        <v>-5.4086023888160666</v>
      </c>
      <c r="C30" s="434">
        <f>+'Budget accounting'!G30*100</f>
        <v>2.2936929130865535</v>
      </c>
      <c r="D30" s="434">
        <f>+'Budget accounting'!H30*100</f>
        <v>-7.7022953019026206</v>
      </c>
      <c r="E30" s="434"/>
    </row>
    <row r="31" spans="1:5">
      <c r="A31" s="433" t="s">
        <v>625</v>
      </c>
      <c r="B31" s="434">
        <f>+'Budget accounting'!I31*100</f>
        <v>0.76189647520618076</v>
      </c>
      <c r="C31" s="434">
        <f>+'Budget accounting'!G31*100</f>
        <v>0.40352811541670019</v>
      </c>
      <c r="D31" s="434">
        <f>+'Budget accounting'!H31*100</f>
        <v>0.35836835978948056</v>
      </c>
      <c r="E31" s="434"/>
    </row>
    <row r="32" spans="1:5">
      <c r="A32" s="433" t="s">
        <v>626</v>
      </c>
      <c r="B32" s="434">
        <f>+'Budget accounting'!I32*100</f>
        <v>-9.3562000947730812</v>
      </c>
      <c r="C32" s="434">
        <f>+'Budget accounting'!G32*100</f>
        <v>-5.1510153905962346</v>
      </c>
      <c r="D32" s="434">
        <f>+'Budget accounting'!H32*100</f>
        <v>-4.2051847041768466</v>
      </c>
      <c r="E32" s="434"/>
    </row>
    <row r="33" spans="1:5">
      <c r="A33" s="433" t="s">
        <v>627</v>
      </c>
      <c r="B33" s="434">
        <f>+'Budget accounting'!I33*100</f>
        <v>-0.91428907168812024</v>
      </c>
      <c r="C33" s="434">
        <f>+'Budget accounting'!G33*100</f>
        <v>-1.8305075787229503</v>
      </c>
      <c r="D33" s="434">
        <f>+'Budget accounting'!H33*100</f>
        <v>0.91621850703483021</v>
      </c>
      <c r="E33" s="434"/>
    </row>
    <row r="34" spans="1:5">
      <c r="A34" s="433" t="s">
        <v>628</v>
      </c>
      <c r="B34" s="434">
        <f>+'Budget accounting'!I34*100</f>
        <v>-4.7469358081965316</v>
      </c>
      <c r="C34" s="434">
        <f>+'Budget accounting'!G34*100</f>
        <v>-0.19322455434463989</v>
      </c>
      <c r="D34" s="434">
        <f>+'Budget accounting'!H34*100</f>
        <v>-4.5537112538518913</v>
      </c>
      <c r="E34" s="434"/>
    </row>
    <row r="35" spans="1:5">
      <c r="A35" s="433" t="s">
        <v>629</v>
      </c>
      <c r="B35" s="434">
        <f>+'Budget accounting'!I35*100</f>
        <v>0.30532710929417234</v>
      </c>
      <c r="C35" s="434">
        <f>+'Budget accounting'!G35*100</f>
        <v>-1.5769576859947898</v>
      </c>
      <c r="D35" s="434">
        <f>+'Budget accounting'!H35*100</f>
        <v>1.8822847952889621</v>
      </c>
      <c r="E35" s="434"/>
    </row>
    <row r="36" spans="1:5">
      <c r="A36" s="433" t="s">
        <v>630</v>
      </c>
      <c r="B36" s="434">
        <f>+'Budget accounting'!I36*100</f>
        <v>1.4410092163437895</v>
      </c>
      <c r="C36" s="434">
        <f>+'Budget accounting'!G36*100</f>
        <v>-2.8638307173549671</v>
      </c>
      <c r="D36" s="434">
        <f>+'Budget accounting'!H36*100</f>
        <v>4.3048399336987568</v>
      </c>
      <c r="E36" s="434"/>
    </row>
    <row r="37" spans="1:5">
      <c r="A37" s="433" t="s">
        <v>631</v>
      </c>
      <c r="B37" s="434">
        <f>+'Budget accounting'!I37*100</f>
        <v>2.2954908873345485</v>
      </c>
      <c r="C37" s="434">
        <f>+'Budget accounting'!G37*100</f>
        <v>-1.0881186050815981</v>
      </c>
      <c r="D37" s="434">
        <f>+'Budget accounting'!H37*100</f>
        <v>3.3836094924161468</v>
      </c>
      <c r="E37" s="434"/>
    </row>
    <row r="38" spans="1:5">
      <c r="A38" s="433" t="s">
        <v>311</v>
      </c>
      <c r="B38" s="434">
        <f>+'Budget accounting'!I38*100</f>
        <v>-0.74213657121039223</v>
      </c>
      <c r="C38" s="434">
        <f>+'Budget accounting'!G38*100</f>
        <v>-0.95165306882831502</v>
      </c>
      <c r="D38" s="434">
        <f>+'Budget accounting'!H38*100</f>
        <v>0.20951649761792279</v>
      </c>
      <c r="E38" s="434"/>
    </row>
    <row r="39" spans="1:5">
      <c r="A39" s="433" t="s">
        <v>312</v>
      </c>
      <c r="B39" s="434">
        <f>+'Budget accounting'!I39*100</f>
        <v>0.82485436645148258</v>
      </c>
      <c r="C39" s="434">
        <f>+'Budget accounting'!G39*100</f>
        <v>0.82047687506990341</v>
      </c>
      <c r="D39" s="434">
        <f>+'Budget accounting'!H39*100</f>
        <v>4.377491381579203E-3</v>
      </c>
      <c r="E39" s="434"/>
    </row>
    <row r="40" spans="1:5">
      <c r="A40" s="433" t="s">
        <v>313</v>
      </c>
      <c r="B40" s="434">
        <f>+'Budget accounting'!I40*100</f>
        <v>2.5037898432885028</v>
      </c>
      <c r="C40" s="434">
        <f>+'Budget accounting'!G40*100</f>
        <v>-1.623705056788332</v>
      </c>
      <c r="D40" s="434">
        <f>+'Budget accounting'!H40*100</f>
        <v>4.1274949000768348</v>
      </c>
      <c r="E40" s="434"/>
    </row>
    <row r="41" spans="1:5">
      <c r="A41" s="433" t="s">
        <v>314</v>
      </c>
      <c r="B41" s="434">
        <f>+'Budget accounting'!I41*100</f>
        <v>6.6877480632147046</v>
      </c>
      <c r="C41" s="434">
        <f>+'Budget accounting'!G41*100</f>
        <v>2.9767768409876854</v>
      </c>
      <c r="D41" s="434">
        <f>+'Budget accounting'!H41*100</f>
        <v>3.7109712222270193</v>
      </c>
      <c r="E41" s="434"/>
    </row>
    <row r="42" spans="1:5">
      <c r="A42" s="433" t="s">
        <v>315</v>
      </c>
      <c r="B42" s="434">
        <f>+'Budget accounting'!I42*100</f>
        <v>0.85762977335035528</v>
      </c>
      <c r="C42" s="434">
        <f>+'Budget accounting'!G42*100</f>
        <v>2.9896557785467635</v>
      </c>
      <c r="D42" s="434">
        <f>+'Budget accounting'!H42*100</f>
        <v>-2.1320260051964084</v>
      </c>
      <c r="E42" s="434"/>
    </row>
    <row r="43" spans="1:5">
      <c r="A43" s="433" t="s">
        <v>316</v>
      </c>
      <c r="B43" s="434">
        <f>+'Budget accounting'!I43*100</f>
        <v>6.0515216004416311E-4</v>
      </c>
      <c r="C43" s="434">
        <f>+'Budget accounting'!G43*100</f>
        <v>-0.91643245338288692</v>
      </c>
      <c r="D43" s="434">
        <f>+'Budget accounting'!H43*100</f>
        <v>0.91703760554293112</v>
      </c>
      <c r="E43" s="434"/>
    </row>
    <row r="44" spans="1:5">
      <c r="A44" s="433" t="s">
        <v>317</v>
      </c>
      <c r="B44" s="434">
        <f>+'Budget accounting'!I44*100</f>
        <v>1.8582348027188431</v>
      </c>
      <c r="C44" s="434">
        <f>+'Budget accounting'!G44*100</f>
        <v>2.2325506519128764</v>
      </c>
      <c r="D44" s="434">
        <f>+'Budget accounting'!H44*100</f>
        <v>-0.37431584919403321</v>
      </c>
      <c r="E44" s="434"/>
    </row>
    <row r="45" spans="1:5">
      <c r="A45" s="433" t="s">
        <v>318</v>
      </c>
      <c r="B45" s="434">
        <f>+'Budget accounting'!I45*100</f>
        <v>2.920789577317521</v>
      </c>
      <c r="C45" s="434">
        <f>+'Budget accounting'!G45*100</f>
        <v>-0.92490258624493649</v>
      </c>
      <c r="D45" s="434">
        <f>+'Budget accounting'!H45*100</f>
        <v>3.845692163562457</v>
      </c>
      <c r="E45" s="434"/>
    </row>
    <row r="46" spans="1:5">
      <c r="A46" s="433" t="s">
        <v>632</v>
      </c>
      <c r="B46" s="434">
        <f>+'Budget accounting'!I46*100</f>
        <v>-3.7449696163558497</v>
      </c>
      <c r="C46" s="434">
        <f>+'Budget accounting'!G46*100</f>
        <v>-2.0033953434266101</v>
      </c>
      <c r="D46" s="434">
        <f>+'Budget accounting'!H46*100</f>
        <v>-1.7415742729292396</v>
      </c>
      <c r="E46" s="434"/>
    </row>
    <row r="47" spans="1:5">
      <c r="A47" s="433" t="s">
        <v>633</v>
      </c>
      <c r="B47" s="434">
        <f>+'Budget accounting'!I47*100</f>
        <v>-3.6990917059972164</v>
      </c>
      <c r="C47" s="434">
        <f>+'Budget accounting'!G47*100</f>
        <v>-1.30370362521035</v>
      </c>
      <c r="D47" s="434">
        <f>+'Budget accounting'!H47*100</f>
        <v>-2.3953880807868666</v>
      </c>
      <c r="E47" s="434"/>
    </row>
    <row r="48" spans="1:5">
      <c r="A48" s="433" t="s">
        <v>634</v>
      </c>
      <c r="B48" s="434">
        <f>+'Budget accounting'!I48*100</f>
        <v>-0.32961605636981706</v>
      </c>
      <c r="C48" s="434">
        <f>+'Budget accounting'!G48*100</f>
        <v>-1.990587619658015</v>
      </c>
      <c r="D48" s="434">
        <f>+'Budget accounting'!H48*100</f>
        <v>1.6609715632881981</v>
      </c>
      <c r="E48" s="434"/>
    </row>
    <row r="49" spans="1:5">
      <c r="A49" s="433" t="s">
        <v>635</v>
      </c>
      <c r="B49" s="434">
        <f>+'Budget accounting'!I49*100</f>
        <v>-0.22370185378308272</v>
      </c>
      <c r="C49" s="434">
        <f>+'Budget accounting'!G49*100</f>
        <v>-1.710205234162379</v>
      </c>
      <c r="D49" s="434">
        <f>+'Budget accounting'!H49*100</f>
        <v>1.4865033803792964</v>
      </c>
      <c r="E49" s="434"/>
    </row>
    <row r="50" spans="1:5">
      <c r="A50" s="433" t="s">
        <v>636</v>
      </c>
      <c r="B50" s="434">
        <f>+'Budget accounting'!I50*100</f>
        <v>0.67704187164115659</v>
      </c>
      <c r="C50" s="434">
        <f>+'Budget accounting'!G50*100</f>
        <v>-2.9073278303367718</v>
      </c>
      <c r="D50" s="434">
        <f>+'Budget accounting'!H50*100</f>
        <v>3.5843697019779284</v>
      </c>
      <c r="E50" s="434"/>
    </row>
    <row r="51" spans="1:5">
      <c r="A51" s="433" t="s">
        <v>637</v>
      </c>
      <c r="B51" s="434">
        <f>+'Budget accounting'!I51*100</f>
        <v>3.1817506375597118</v>
      </c>
      <c r="C51" s="434">
        <f>+'Budget accounting'!G51*100</f>
        <v>0.47033269491675717</v>
      </c>
      <c r="D51" s="434">
        <f>+'Budget accounting'!H51*100</f>
        <v>2.7114179426429548</v>
      </c>
      <c r="E51" s="434"/>
    </row>
    <row r="52" spans="1:5">
      <c r="A52" s="433" t="s">
        <v>638</v>
      </c>
      <c r="B52" s="434">
        <f>+'Budget accounting'!I52*100</f>
        <v>-1.3953588570318223</v>
      </c>
      <c r="C52" s="434">
        <f>+'Budget accounting'!G52*100</f>
        <v>-0.77458250747716617</v>
      </c>
      <c r="D52" s="434">
        <f>+'Budget accounting'!H52*100</f>
        <v>-0.6207763495546561</v>
      </c>
      <c r="E52" s="434"/>
    </row>
    <row r="53" spans="1:5">
      <c r="A53" s="433" t="s">
        <v>639</v>
      </c>
      <c r="B53" s="434">
        <f>+'Budget accounting'!I53*100</f>
        <v>-0.18965813159505118</v>
      </c>
      <c r="C53" s="434">
        <f>+'Budget accounting'!G53*100</f>
        <v>-1.2932474096764748</v>
      </c>
      <c r="D53" s="434">
        <f>+'Budget accounting'!H53*100</f>
        <v>1.1035892780814236</v>
      </c>
      <c r="E53" s="434"/>
    </row>
    <row r="54" spans="1:5">
      <c r="A54" s="433" t="s">
        <v>640</v>
      </c>
      <c r="B54" s="434">
        <f>+'Budget accounting'!I54*100</f>
        <v>1.5426972317139507</v>
      </c>
      <c r="C54" s="434">
        <f>+'Budget accounting'!G54*100</f>
        <v>1.5984753187422076</v>
      </c>
      <c r="D54" s="434">
        <f>+'Budget accounting'!H54*100</f>
        <v>-5.5778087028256901E-2</v>
      </c>
      <c r="E54" s="434"/>
    </row>
    <row r="55" spans="1:5">
      <c r="A55" s="433" t="s">
        <v>641</v>
      </c>
      <c r="B55" s="434">
        <f>+'Budget accounting'!I55*100</f>
        <v>0.32434442702779021</v>
      </c>
      <c r="C55" s="434">
        <f>+'Budget accounting'!G55*100</f>
        <v>1.9147828182758442</v>
      </c>
      <c r="D55" s="434">
        <f>+'Budget accounting'!H55*100</f>
        <v>-1.590438391248054</v>
      </c>
      <c r="E55" s="434"/>
    </row>
    <row r="56" spans="1:5">
      <c r="A56" s="433" t="s">
        <v>642</v>
      </c>
      <c r="B56" s="434">
        <f>+'Budget accounting'!I56*100</f>
        <v>4.4327531632027632</v>
      </c>
      <c r="C56" s="434">
        <f>+'Budget accounting'!G56*100</f>
        <v>1.4762325994649832</v>
      </c>
      <c r="D56" s="434">
        <f>+'Budget accounting'!H56*100</f>
        <v>2.9565205637377798</v>
      </c>
      <c r="E56" s="434"/>
    </row>
    <row r="57" spans="1:5">
      <c r="A57" s="433" t="s">
        <v>643</v>
      </c>
      <c r="B57" s="434">
        <f>+'Budget accounting'!I57*100</f>
        <v>2.0298856516077666</v>
      </c>
      <c r="C57" s="434">
        <f>+'Budget accounting'!G57*100</f>
        <v>0.69075820385094933</v>
      </c>
      <c r="D57" s="434">
        <f>+'Budget accounting'!H57*100</f>
        <v>1.3391274477568171</v>
      </c>
      <c r="E57" s="434"/>
    </row>
    <row r="58" spans="1:5">
      <c r="A58" s="433"/>
      <c r="B58" s="432"/>
      <c r="C58" s="432"/>
    </row>
    <row r="59" spans="1:5">
      <c r="A59" s="433"/>
      <c r="B59" s="432"/>
    </row>
    <row r="60" spans="1:5">
      <c r="A60" s="433"/>
    </row>
    <row r="61" spans="1:5">
      <c r="A61" s="433"/>
    </row>
    <row r="62" spans="1:5">
      <c r="A62" s="433"/>
    </row>
    <row r="63" spans="1:5">
      <c r="A63" s="433"/>
    </row>
    <row r="64" spans="1:5">
      <c r="A64" s="433"/>
    </row>
    <row r="65" spans="1:1">
      <c r="A65" s="433"/>
    </row>
    <row r="66" spans="1:1">
      <c r="A66" s="433"/>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workbookViewId="0"/>
  </sheetViews>
  <sheetFormatPr defaultColWidth="9.109375" defaultRowHeight="14.4"/>
  <cols>
    <col min="1" max="16384" width="9.109375" style="236"/>
  </cols>
  <sheetData>
    <row r="1" spans="1:3">
      <c r="A1" s="236" t="s">
        <v>607</v>
      </c>
      <c r="B1" s="236" t="s">
        <v>1337</v>
      </c>
    </row>
    <row r="4" spans="1:3">
      <c r="A4" s="236" t="s">
        <v>297</v>
      </c>
      <c r="B4" s="432">
        <f>+IR!I6*100</f>
        <v>0.13542855922582983</v>
      </c>
      <c r="C4" s="432"/>
    </row>
    <row r="5" spans="1:3">
      <c r="A5" s="236" t="s">
        <v>298</v>
      </c>
      <c r="B5" s="432">
        <f>+IR!I7*100</f>
        <v>0.52075048365770094</v>
      </c>
      <c r="C5" s="432"/>
    </row>
    <row r="6" spans="1:3">
      <c r="A6" s="236" t="s">
        <v>299</v>
      </c>
      <c r="B6" s="432">
        <f>+IR!I8*100</f>
        <v>1.3307913306074619</v>
      </c>
      <c r="C6" s="432"/>
    </row>
    <row r="7" spans="1:3">
      <c r="A7" s="236" t="s">
        <v>300</v>
      </c>
      <c r="B7" s="432">
        <f>+IR!I9*100</f>
        <v>2.6629906503859337</v>
      </c>
      <c r="C7" s="432"/>
    </row>
    <row r="8" spans="1:3">
      <c r="A8" s="236" t="s">
        <v>301</v>
      </c>
      <c r="B8" s="432">
        <f>+IR!I10*100</f>
        <v>2.5333984269768206</v>
      </c>
      <c r="C8" s="432"/>
    </row>
    <row r="9" spans="1:3">
      <c r="A9" s="236" t="s">
        <v>302</v>
      </c>
      <c r="B9" s="432">
        <f>+IR!I11*100</f>
        <v>2.3237076624148041</v>
      </c>
      <c r="C9" s="432"/>
    </row>
    <row r="10" spans="1:3">
      <c r="A10" s="236" t="s">
        <v>303</v>
      </c>
      <c r="B10" s="432">
        <f>+IR!I12*100</f>
        <v>1.9588696158486505</v>
      </c>
      <c r="C10" s="432"/>
    </row>
    <row r="11" spans="1:3">
      <c r="A11" s="236" t="s">
        <v>304</v>
      </c>
      <c r="B11" s="432">
        <f>+IR!I13*100</f>
        <v>1.6410265626815552</v>
      </c>
      <c r="C11" s="432"/>
    </row>
    <row r="12" spans="1:3">
      <c r="A12" s="236" t="s">
        <v>305</v>
      </c>
      <c r="B12" s="432">
        <f>+IR!I14*100</f>
        <v>2.8784631078566063</v>
      </c>
      <c r="C12" s="432"/>
    </row>
    <row r="13" spans="1:3">
      <c r="A13" s="236" t="s">
        <v>306</v>
      </c>
      <c r="B13" s="432">
        <f>+IR!I15*100</f>
        <v>3.1203808884405082</v>
      </c>
      <c r="C13" s="432"/>
    </row>
    <row r="14" spans="1:3">
      <c r="A14" s="236" t="s">
        <v>307</v>
      </c>
      <c r="B14" s="432">
        <f>+IR!I16*100</f>
        <v>4.2872502691998644</v>
      </c>
      <c r="C14" s="432"/>
    </row>
    <row r="15" spans="1:3">
      <c r="A15" s="236" t="s">
        <v>308</v>
      </c>
      <c r="B15" s="432">
        <f>+IR!I17*100</f>
        <v>6.6735760751118072</v>
      </c>
      <c r="C15" s="432"/>
    </row>
    <row r="16" spans="1:3">
      <c r="A16" s="236" t="s">
        <v>309</v>
      </c>
      <c r="B16" s="432">
        <f>+IR!I18*100</f>
        <v>8.6714779191527889</v>
      </c>
      <c r="C16" s="432"/>
    </row>
    <row r="17" spans="1:3">
      <c r="A17" s="236" t="s">
        <v>310</v>
      </c>
      <c r="B17" s="432">
        <f>+IR!I19*100</f>
        <v>9.2272949879029653</v>
      </c>
      <c r="C17" s="432"/>
    </row>
    <row r="18" spans="1:3">
      <c r="A18" s="236" t="s">
        <v>612</v>
      </c>
      <c r="B18" s="432">
        <f>+IR!I20*100</f>
        <v>10.84658008427974</v>
      </c>
      <c r="C18" s="432"/>
    </row>
    <row r="19" spans="1:3">
      <c r="A19" s="236" t="s">
        <v>613</v>
      </c>
      <c r="B19" s="432">
        <f>+IR!I21*100</f>
        <v>16.067804091038511</v>
      </c>
      <c r="C19" s="432"/>
    </row>
    <row r="20" spans="1:3">
      <c r="A20" s="236" t="s">
        <v>614</v>
      </c>
      <c r="B20" s="432">
        <f>+IR!I22*100</f>
        <v>22.686388149311757</v>
      </c>
      <c r="C20" s="432"/>
    </row>
    <row r="21" spans="1:3">
      <c r="A21" s="236" t="s">
        <v>615</v>
      </c>
      <c r="B21" s="432">
        <f>+IR!I23*100</f>
        <v>25.201751910354357</v>
      </c>
      <c r="C21" s="432"/>
    </row>
    <row r="22" spans="1:3">
      <c r="A22" s="236" t="s">
        <v>616</v>
      </c>
      <c r="B22" s="432">
        <f>+IR!I24*100</f>
        <v>25.120219421858199</v>
      </c>
      <c r="C22" s="432"/>
    </row>
    <row r="23" spans="1:3">
      <c r="A23" s="236" t="s">
        <v>617</v>
      </c>
      <c r="B23" s="432">
        <f>+IR!I25*100</f>
        <v>21.476284480887276</v>
      </c>
      <c r="C23" s="432"/>
    </row>
    <row r="24" spans="1:3">
      <c r="A24" s="236" t="s">
        <v>618</v>
      </c>
      <c r="B24" s="432">
        <f>+IR!I26*100</f>
        <v>16.948190326414441</v>
      </c>
      <c r="C24" s="432"/>
    </row>
    <row r="25" spans="1:3">
      <c r="A25" s="236" t="s">
        <v>619</v>
      </c>
      <c r="B25" s="432">
        <f>+IR!I27*100</f>
        <v>16.234017442091961</v>
      </c>
      <c r="C25" s="432"/>
    </row>
    <row r="26" spans="1:3">
      <c r="A26" s="236" t="s">
        <v>620</v>
      </c>
      <c r="B26" s="432">
        <f>+IR!I28*100</f>
        <v>12.98815976503032</v>
      </c>
      <c r="C26" s="432"/>
    </row>
    <row r="27" spans="1:3">
      <c r="A27" s="236" t="s">
        <v>621</v>
      </c>
      <c r="B27" s="432">
        <f>+IR!I29*100</f>
        <v>11.343549512156748</v>
      </c>
      <c r="C27" s="432"/>
    </row>
    <row r="28" spans="1:3">
      <c r="A28" s="236" t="s">
        <v>622</v>
      </c>
      <c r="B28" s="432">
        <f>+IR!I30*100</f>
        <v>8.7856165631732761</v>
      </c>
      <c r="C28" s="432"/>
    </row>
    <row r="29" spans="1:3">
      <c r="A29" s="236" t="s">
        <v>623</v>
      </c>
      <c r="B29" s="432">
        <f>+IR!I31*100</f>
        <v>9.1921325815700623</v>
      </c>
      <c r="C29" s="432"/>
    </row>
    <row r="30" spans="1:3">
      <c r="A30" s="236" t="s">
        <v>624</v>
      </c>
      <c r="B30" s="432">
        <f>+IR!I32*100</f>
        <v>5.9122317287125341</v>
      </c>
      <c r="C30" s="432"/>
    </row>
    <row r="31" spans="1:3">
      <c r="A31" s="236" t="s">
        <v>625</v>
      </c>
      <c r="B31" s="432">
        <f>+IR!I33*100</f>
        <v>7.4793301960030272</v>
      </c>
      <c r="C31" s="432"/>
    </row>
    <row r="32" spans="1:3">
      <c r="A32" s="236" t="s">
        <v>626</v>
      </c>
      <c r="B32" s="432">
        <f>+IR!I34*100</f>
        <v>10.791377678692477</v>
      </c>
      <c r="C32" s="432"/>
    </row>
    <row r="33" spans="1:3">
      <c r="A33" s="236" t="s">
        <v>627</v>
      </c>
      <c r="B33" s="432">
        <f>+IR!I35*100</f>
        <v>14.258905285791593</v>
      </c>
      <c r="C33" s="432"/>
    </row>
    <row r="34" spans="1:3">
      <c r="A34" s="236" t="s">
        <v>628</v>
      </c>
      <c r="B34" s="432">
        <f>+IR!I36*100</f>
        <v>8.760666806228425</v>
      </c>
      <c r="C34" s="432"/>
    </row>
    <row r="35" spans="1:3">
      <c r="A35" s="236" t="s">
        <v>629</v>
      </c>
      <c r="B35" s="432">
        <f>+IR!I37*100</f>
        <v>9.3919729764712372</v>
      </c>
      <c r="C35" s="432"/>
    </row>
    <row r="36" spans="1:3">
      <c r="A36" s="236" t="s">
        <v>630</v>
      </c>
      <c r="B36" s="432">
        <f>+IR!I38*100</f>
        <v>13.323832333306793</v>
      </c>
      <c r="C36" s="432"/>
    </row>
    <row r="37" spans="1:3">
      <c r="A37" s="236" t="s">
        <v>631</v>
      </c>
      <c r="B37" s="432">
        <f>+IR!I39*100</f>
        <v>12.988564543949554</v>
      </c>
      <c r="C37" s="432"/>
    </row>
    <row r="38" spans="1:3">
      <c r="A38" s="236" t="s">
        <v>311</v>
      </c>
      <c r="B38" s="432">
        <f>+IR!I40*100</f>
        <v>12.019600205814395</v>
      </c>
      <c r="C38" s="432"/>
    </row>
    <row r="39" spans="1:3">
      <c r="A39" s="236" t="s">
        <v>312</v>
      </c>
      <c r="B39" s="432">
        <f>+IR!I41*100</f>
        <v>8.9323093823095387</v>
      </c>
      <c r="C39" s="432"/>
    </row>
    <row r="40" spans="1:3">
      <c r="A40" s="236" t="s">
        <v>313</v>
      </c>
      <c r="B40" s="432">
        <f>+IR!I42*100</f>
        <v>9.3370877435027442</v>
      </c>
      <c r="C40" s="432"/>
    </row>
    <row r="41" spans="1:3">
      <c r="A41" s="236" t="s">
        <v>314</v>
      </c>
      <c r="B41" s="432">
        <f>+IR!I43*100</f>
        <v>10.702283102589147</v>
      </c>
      <c r="C41" s="432"/>
    </row>
    <row r="42" spans="1:3">
      <c r="A42" s="236" t="s">
        <v>315</v>
      </c>
      <c r="B42" s="432">
        <f>+IR!I44*100</f>
        <v>8.3106740986277643</v>
      </c>
      <c r="C42" s="432"/>
    </row>
    <row r="43" spans="1:3">
      <c r="A43" s="236" t="s">
        <v>316</v>
      </c>
      <c r="B43" s="432">
        <f>+IR!I45*100</f>
        <v>7.5551857594867533</v>
      </c>
      <c r="C43" s="432"/>
    </row>
    <row r="44" spans="1:3">
      <c r="A44" s="236" t="s">
        <v>317</v>
      </c>
      <c r="B44" s="432">
        <f>+IR!I46*100</f>
        <v>6.8232107323626208</v>
      </c>
      <c r="C44" s="432"/>
    </row>
    <row r="45" spans="1:3">
      <c r="A45" s="236" t="s">
        <v>318</v>
      </c>
      <c r="B45" s="432">
        <f>+IR!I47*100</f>
        <v>9.9070627214209956</v>
      </c>
      <c r="C45" s="432"/>
    </row>
    <row r="46" spans="1:3">
      <c r="A46" s="236" t="s">
        <v>632</v>
      </c>
      <c r="B46" s="432">
        <f>+IR!I48*100</f>
        <v>10.887875814022561</v>
      </c>
      <c r="C46" s="432"/>
    </row>
    <row r="47" spans="1:3">
      <c r="A47" s="236" t="s">
        <v>633</v>
      </c>
      <c r="B47" s="432">
        <f>+IR!I49*100</f>
        <v>11.309428292497984</v>
      </c>
      <c r="C47" s="432"/>
    </row>
    <row r="48" spans="1:3">
      <c r="A48" s="236" t="s">
        <v>634</v>
      </c>
      <c r="B48" s="432">
        <f>+IR!I50*100</f>
        <v>13.483525118511302</v>
      </c>
      <c r="C48" s="432"/>
    </row>
    <row r="49" spans="1:3">
      <c r="A49" s="236" t="s">
        <v>635</v>
      </c>
      <c r="B49" s="432">
        <f>+IR!I51*100</f>
        <v>18.315418226906775</v>
      </c>
      <c r="C49" s="432"/>
    </row>
    <row r="50" spans="1:3">
      <c r="A50" s="236" t="s">
        <v>636</v>
      </c>
      <c r="B50" s="432">
        <f>+IR!I52*100</f>
        <v>18.797740658107365</v>
      </c>
      <c r="C50" s="432"/>
    </row>
    <row r="51" spans="1:3">
      <c r="A51" s="236" t="s">
        <v>637</v>
      </c>
      <c r="B51" s="432">
        <f>+IR!I53*100</f>
        <v>26.69563069125072</v>
      </c>
      <c r="C51" s="432"/>
    </row>
    <row r="52" spans="1:3">
      <c r="A52" s="236" t="s">
        <v>638</v>
      </c>
      <c r="B52" s="432">
        <f>+IR!I54*100</f>
        <v>24.420682225529294</v>
      </c>
      <c r="C52" s="432"/>
    </row>
    <row r="53" spans="1:3">
      <c r="A53" s="236" t="s">
        <v>639</v>
      </c>
      <c r="B53" s="432">
        <f>+IR!I55*100</f>
        <v>26.935096715076234</v>
      </c>
      <c r="C53" s="432"/>
    </row>
    <row r="54" spans="1:3">
      <c r="A54" s="236" t="s">
        <v>640</v>
      </c>
      <c r="B54" s="432">
        <f>+IR!I56*100</f>
        <v>26.095571741523869</v>
      </c>
      <c r="C54" s="432"/>
    </row>
    <row r="55" spans="1:3">
      <c r="A55" s="236" t="s">
        <v>641</v>
      </c>
      <c r="B55" s="432">
        <f>+IR!I57*100</f>
        <v>26.543715782360394</v>
      </c>
      <c r="C55" s="432"/>
    </row>
    <row r="56" spans="1:3">
      <c r="A56" s="236" t="s">
        <v>642</v>
      </c>
      <c r="B56" s="432">
        <f>+IR!I58*100</f>
        <v>29.29917788966382</v>
      </c>
      <c r="C56" s="432"/>
    </row>
    <row r="57" spans="1:3">
      <c r="A57" s="236" t="s">
        <v>643</v>
      </c>
      <c r="B57" s="432">
        <f>+IR!I59*100</f>
        <v>25.798262901127973</v>
      </c>
      <c r="C57" s="432"/>
    </row>
    <row r="58" spans="1:3">
      <c r="A58" s="236" t="s">
        <v>644</v>
      </c>
      <c r="B58" s="432">
        <f>+IR!I60*100</f>
        <v>29.413628189727969</v>
      </c>
      <c r="C58" s="432"/>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
  <sheetViews>
    <sheetView workbookViewId="0"/>
  </sheetViews>
  <sheetFormatPr defaultColWidth="9.109375" defaultRowHeight="14.4"/>
  <cols>
    <col min="1" max="16384" width="9.109375" style="236"/>
  </cols>
  <sheetData>
    <row r="1" spans="1:3">
      <c r="A1" s="236" t="s">
        <v>607</v>
      </c>
      <c r="B1" s="236" t="s">
        <v>1367</v>
      </c>
    </row>
    <row r="3" spans="1:3">
      <c r="B3" s="236" t="s">
        <v>1368</v>
      </c>
      <c r="C3" s="236" t="s">
        <v>1362</v>
      </c>
    </row>
    <row r="4" spans="1:3">
      <c r="A4" s="236" t="s">
        <v>297</v>
      </c>
      <c r="B4" s="432">
        <f>+'Data Figures 7, 8, 9'!D3*100</f>
        <v>2.0000000000000684</v>
      </c>
      <c r="C4" s="432">
        <f>+'Data Figures 7, 8, 9'!E3*100</f>
        <v>-1.1569295761125198</v>
      </c>
    </row>
    <row r="5" spans="1:3">
      <c r="A5" s="236" t="s">
        <v>298</v>
      </c>
      <c r="B5" s="432">
        <f>+'Data Figures 7, 8, 9'!D4*100</f>
        <v>1.568627450980431</v>
      </c>
      <c r="C5" s="432">
        <f>+'Data Figures 7, 8, 9'!E4*100</f>
        <v>8.1593006313744443</v>
      </c>
    </row>
    <row r="6" spans="1:3">
      <c r="A6" s="236" t="s">
        <v>299</v>
      </c>
      <c r="B6" s="432">
        <f>+'Data Figures 7, 8, 9'!D5*100</f>
        <v>5.0442227727720779</v>
      </c>
      <c r="C6" s="432">
        <f>+'Data Figures 7, 8, 9'!E5*100</f>
        <v>24.562191288729231</v>
      </c>
    </row>
    <row r="7" spans="1:3">
      <c r="A7" s="236" t="s">
        <v>300</v>
      </c>
      <c r="B7" s="432">
        <f>+'Data Figures 7, 8, 9'!D6*100</f>
        <v>3.9215686274509665</v>
      </c>
      <c r="C7" s="432">
        <f>+'Data Figures 7, 8, 9'!E6*100</f>
        <v>13.157894736842103</v>
      </c>
    </row>
    <row r="8" spans="1:3">
      <c r="A8" s="236" t="s">
        <v>301</v>
      </c>
      <c r="B8" s="432">
        <f>+'Data Figures 7, 8, 9'!D7*100</f>
        <v>1.3207547169811651</v>
      </c>
      <c r="C8" s="432">
        <f>+'Data Figures 7, 8, 9'!E7*100</f>
        <v>0.50971647021345046</v>
      </c>
    </row>
    <row r="9" spans="1:3">
      <c r="A9" s="236" t="s">
        <v>302</v>
      </c>
      <c r="B9" s="432">
        <f>+'Data Figures 7, 8, 9'!D8*100</f>
        <v>0.55865921787707773</v>
      </c>
      <c r="C9" s="432">
        <f>+'Data Figures 7, 8, 9'!E8*100</f>
        <v>2.5673534072900184</v>
      </c>
    </row>
    <row r="10" spans="1:3">
      <c r="A10" s="236" t="s">
        <v>303</v>
      </c>
      <c r="B10" s="432">
        <f>+'Data Figures 7, 8, 9'!D9*100</f>
        <v>2.6851851851852127</v>
      </c>
      <c r="C10" s="432">
        <f>+'Data Figures 7, 8, 9'!E9*100</f>
        <v>9.6106304079109925</v>
      </c>
    </row>
    <row r="11" spans="1:3">
      <c r="A11" s="236" t="s">
        <v>304</v>
      </c>
      <c r="B11" s="432">
        <f>+'Data Figures 7, 8, 9'!D10*100</f>
        <v>-0.27051397655546428</v>
      </c>
      <c r="C11" s="432">
        <f>+'Data Figures 7, 8, 9'!E10*100</f>
        <v>4.6800112771355984</v>
      </c>
    </row>
    <row r="12" spans="1:3">
      <c r="A12" s="236" t="s">
        <v>305</v>
      </c>
      <c r="B12" s="432">
        <f>+'Data Figures 7, 8, 9'!D11*100</f>
        <v>2.2603978300180794</v>
      </c>
      <c r="C12" s="432">
        <f>+'Data Figures 7, 8, 9'!E11*100</f>
        <v>16.347966603824403</v>
      </c>
    </row>
    <row r="13" spans="1:3">
      <c r="A13" s="236" t="s">
        <v>306</v>
      </c>
      <c r="B13" s="432">
        <f>+'Data Figures 7, 8, 9'!D12*100</f>
        <v>6.2776304155614637</v>
      </c>
      <c r="C13" s="432">
        <f>+'Data Figures 7, 8, 9'!E12*100</f>
        <v>11.018518518518515</v>
      </c>
    </row>
    <row r="14" spans="1:3">
      <c r="A14" s="236" t="s">
        <v>307</v>
      </c>
      <c r="B14" s="432">
        <f>+'Data Figures 7, 8, 9'!D13*100</f>
        <v>9.4841930116472248</v>
      </c>
      <c r="C14" s="432">
        <f>+'Data Figures 7, 8, 9'!E13*100</f>
        <v>16.618015012510433</v>
      </c>
    </row>
    <row r="15" spans="1:3">
      <c r="A15" s="236" t="s">
        <v>308</v>
      </c>
      <c r="B15" s="432">
        <f>+'Data Figures 7, 8, 9'!D14*100</f>
        <v>14.133738601823698</v>
      </c>
      <c r="C15" s="432">
        <f>+'Data Figures 7, 8, 9'!E14*100</f>
        <v>27.158948685857332</v>
      </c>
    </row>
    <row r="16" spans="1:3">
      <c r="A16" s="236" t="s">
        <v>309</v>
      </c>
      <c r="B16" s="432">
        <f>+'Data Figures 7, 8, 9'!D15*100</f>
        <v>21.97070572569908</v>
      </c>
      <c r="C16" s="432">
        <f>+'Data Figures 7, 8, 9'!E15*100</f>
        <v>16.872890888638924</v>
      </c>
    </row>
    <row r="17" spans="1:3">
      <c r="A17" s="236" t="s">
        <v>310</v>
      </c>
      <c r="B17" s="432">
        <f>+'Data Figures 7, 8, 9'!D16*100</f>
        <v>8.6790393013100431</v>
      </c>
      <c r="C17" s="432">
        <f>+'Data Figures 7, 8, 9'!E16*100</f>
        <v>16.963426371511069</v>
      </c>
    </row>
    <row r="18" spans="1:3">
      <c r="A18" s="236" t="s">
        <v>612</v>
      </c>
      <c r="B18" s="432">
        <f>+'Data Figures 7, 8, 9'!D17*100</f>
        <v>3.3651431441486634</v>
      </c>
      <c r="C18" s="432">
        <f>+'Data Figures 7, 8, 9'!E17*100</f>
        <v>15.788932318452996</v>
      </c>
    </row>
    <row r="19" spans="1:3">
      <c r="A19" s="236" t="s">
        <v>613</v>
      </c>
      <c r="B19" s="432">
        <f>+'Data Figures 7, 8, 9'!D18*100</f>
        <v>9.3780369290573198</v>
      </c>
      <c r="C19" s="432">
        <f>+'Data Figures 7, 8, 9'!E18*100</f>
        <v>31.091765123922887</v>
      </c>
    </row>
    <row r="20" spans="1:3">
      <c r="A20" s="236" t="s">
        <v>614</v>
      </c>
      <c r="B20" s="432">
        <f>+'Data Figures 7, 8, 9'!D19*100</f>
        <v>16.836961350510869</v>
      </c>
      <c r="C20" s="432">
        <f>+'Data Figures 7, 8, 9'!E19*100</f>
        <v>36.599579860405228</v>
      </c>
    </row>
    <row r="21" spans="1:3">
      <c r="A21" s="236" t="s">
        <v>615</v>
      </c>
      <c r="B21" s="432">
        <f>+'Data Figures 7, 8, 9'!D20*100</f>
        <v>35.70342205323194</v>
      </c>
      <c r="C21" s="432">
        <f>+'Data Figures 7, 8, 9'!E20*100</f>
        <v>21.157852961603329</v>
      </c>
    </row>
    <row r="22" spans="1:3">
      <c r="A22" s="236" t="s">
        <v>616</v>
      </c>
      <c r="B22" s="432">
        <f>+'Data Figures 7, 8, 9'!D21*100</f>
        <v>15.017255226305103</v>
      </c>
      <c r="C22" s="432">
        <f>+'Data Figures 7, 8, 9'!E21*100</f>
        <v>38.033820578962448</v>
      </c>
    </row>
    <row r="23" spans="1:3">
      <c r="A23" s="236" t="s">
        <v>617</v>
      </c>
      <c r="B23" s="432">
        <f>+'Data Figures 7, 8, 9'!D22*100</f>
        <v>8.1180811808118101</v>
      </c>
      <c r="C23" s="432">
        <f>+'Data Figures 7, 8, 9'!E22*100</f>
        <v>1.9488609397247281</v>
      </c>
    </row>
    <row r="24" spans="1:3">
      <c r="A24" s="236" t="s">
        <v>618</v>
      </c>
      <c r="B24" s="432">
        <f>+'Data Figures 7, 8, 9'!D23*100</f>
        <v>8.8737201365187701</v>
      </c>
      <c r="C24" s="432">
        <f>+'Data Figures 7, 8, 9'!E23*100</f>
        <v>5.1267130262736771</v>
      </c>
    </row>
    <row r="25" spans="1:3">
      <c r="A25" s="236" t="s">
        <v>619</v>
      </c>
      <c r="B25" s="432">
        <f>+'Data Figures 7, 8, 9'!D24*100</f>
        <v>14.10658307210031</v>
      </c>
      <c r="C25" s="432">
        <f>+'Data Figures 7, 8, 9'!E24*100</f>
        <v>15.822977498546953</v>
      </c>
    </row>
    <row r="26" spans="1:3">
      <c r="A26" s="236" t="s">
        <v>620</v>
      </c>
      <c r="B26" s="432">
        <f>+'Data Figures 7, 8, 9'!D25*100</f>
        <v>29.807692307692314</v>
      </c>
      <c r="C26" s="432">
        <f>+'Data Figures 7, 8, 9'!E25*100</f>
        <v>28.328713439112985</v>
      </c>
    </row>
    <row r="27" spans="1:3">
      <c r="A27" s="236" t="s">
        <v>621</v>
      </c>
      <c r="B27" s="432">
        <f>+'Data Figures 7, 8, 9'!D26*100</f>
        <v>23.068783068783105</v>
      </c>
      <c r="C27" s="432">
        <f>+'Data Figures 7, 8, 9'!E26*100</f>
        <v>29.532800774630829</v>
      </c>
    </row>
    <row r="28" spans="1:3">
      <c r="A28" s="236" t="s">
        <v>622</v>
      </c>
      <c r="B28" s="432">
        <f>+'Data Figures 7, 8, 9'!D27*100</f>
        <v>24.118658641444533</v>
      </c>
      <c r="C28" s="432">
        <f>+'Data Figures 7, 8, 9'!E27*100</f>
        <v>32.340468352428744</v>
      </c>
    </row>
    <row r="29" spans="1:3">
      <c r="A29" s="236" t="s">
        <v>623</v>
      </c>
      <c r="B29" s="432">
        <f>+'Data Figures 7, 8, 9'!D28*100</f>
        <v>32.040180117769324</v>
      </c>
      <c r="C29" s="432">
        <f>+'Data Figures 7, 8, 9'!E28*100</f>
        <v>39.375407343037153</v>
      </c>
    </row>
    <row r="30" spans="1:3">
      <c r="A30" s="236" t="s">
        <v>624</v>
      </c>
      <c r="B30" s="432">
        <f>+'Data Figures 7, 8, 9'!D29*100</f>
        <v>16.946484784889826</v>
      </c>
      <c r="C30" s="432">
        <f>+'Data Figures 7, 8, 9'!E29*100</f>
        <v>24.133926692593665</v>
      </c>
    </row>
    <row r="31" spans="1:3">
      <c r="A31" s="236" t="s">
        <v>625</v>
      </c>
      <c r="B31" s="432">
        <f>+'Data Figures 7, 8, 9'!D30*100</f>
        <v>28.532974427994628</v>
      </c>
      <c r="C31" s="432">
        <f>+'Data Figures 7, 8, 9'!E30*100</f>
        <v>44.345942552189598</v>
      </c>
    </row>
    <row r="32" spans="1:3">
      <c r="A32" s="236" t="s">
        <v>626</v>
      </c>
      <c r="B32" s="432">
        <f>+'Data Figures 7, 8, 9'!D31*100</f>
        <v>44.066317626527038</v>
      </c>
      <c r="C32" s="432">
        <f>+'Data Figures 7, 8, 9'!E31*100</f>
        <v>41.478075917653669</v>
      </c>
    </row>
    <row r="33" spans="1:3">
      <c r="A33" s="236" t="s">
        <v>627</v>
      </c>
      <c r="B33" s="432">
        <f>+'Data Figures 7, 8, 9'!D32*100</f>
        <v>11.811023622047244</v>
      </c>
      <c r="C33" s="432">
        <f>+'Data Figures 7, 8, 9'!E32*100</f>
        <v>30.35896552996298</v>
      </c>
    </row>
    <row r="34" spans="1:3">
      <c r="A34" s="236" t="s">
        <v>628</v>
      </c>
      <c r="B34" s="432">
        <f>+'Data Figures 7, 8, 9'!D33*100</f>
        <v>17.811484290357548</v>
      </c>
      <c r="C34" s="432">
        <f>+'Data Figures 7, 8, 9'!E33*100</f>
        <v>36.25499981132787</v>
      </c>
    </row>
    <row r="35" spans="1:3">
      <c r="A35" s="236" t="s">
        <v>629</v>
      </c>
      <c r="B35" s="432">
        <f>+'Data Figures 7, 8, 9'!D34*100</f>
        <v>20.406474158543286</v>
      </c>
      <c r="C35" s="432">
        <f>+'Data Figures 7, 8, 9'!E34*100</f>
        <v>20.899084887224937</v>
      </c>
    </row>
    <row r="36" spans="1:3">
      <c r="A36" s="236" t="s">
        <v>630</v>
      </c>
      <c r="B36" s="432">
        <f>+'Data Figures 7, 8, 9'!D35*100</f>
        <v>18.276941877339038</v>
      </c>
      <c r="C36" s="432">
        <f>+'Data Figures 7, 8, 9'!E35*100</f>
        <v>24.55954736386985</v>
      </c>
    </row>
    <row r="37" spans="1:3">
      <c r="A37" s="236" t="s">
        <v>631</v>
      </c>
      <c r="B37" s="432">
        <f>+'Data Figures 7, 8, 9'!D36*100</f>
        <v>10.533159947984405</v>
      </c>
      <c r="C37" s="432">
        <f>+'Data Figures 7, 8, 9'!E36*100</f>
        <v>19.04621789338541</v>
      </c>
    </row>
    <row r="38" spans="1:3">
      <c r="A38" s="236" t="s">
        <v>311</v>
      </c>
      <c r="B38" s="432">
        <f>+'Data Figures 7, 8, 9'!D37*100</f>
        <v>8.176470588235297</v>
      </c>
      <c r="C38" s="432">
        <f>+'Data Figures 7, 8, 9'!E37*100</f>
        <v>5.6334655738559558</v>
      </c>
    </row>
    <row r="39" spans="1:3">
      <c r="A39" s="236" t="s">
        <v>312</v>
      </c>
      <c r="B39" s="432">
        <f>+'Data Figures 7, 8, 9'!D38*100</f>
        <v>6.1990212071778128</v>
      </c>
      <c r="C39" s="432">
        <f>+'Data Figures 7, 8, 9'!E38*100</f>
        <v>14.588145184066725</v>
      </c>
    </row>
    <row r="40" spans="1:3">
      <c r="A40" s="236" t="s">
        <v>313</v>
      </c>
      <c r="B40" s="432">
        <f>+'Data Figures 7, 8, 9'!D39*100</f>
        <v>14.644137224782373</v>
      </c>
      <c r="C40" s="432">
        <f>+'Data Figures 7, 8, 9'!E39*100</f>
        <v>12.398878833271908</v>
      </c>
    </row>
    <row r="41" spans="1:3">
      <c r="A41" s="236" t="s">
        <v>314</v>
      </c>
      <c r="B41" s="432">
        <f>+'Data Figures 7, 8, 9'!D40*100</f>
        <v>5.4041983028137563</v>
      </c>
      <c r="C41" s="432">
        <f>+'Data Figures 7, 8, 9'!E40*100</f>
        <v>12.657312484653737</v>
      </c>
    </row>
    <row r="42" spans="1:3">
      <c r="A42" s="236" t="s">
        <v>315</v>
      </c>
      <c r="B42" s="432">
        <f>+'Data Figures 7, 8, 9'!D41*100</f>
        <v>8.6440677966101553</v>
      </c>
      <c r="C42" s="432">
        <f>+'Data Figures 7, 8, 9'!E41*100</f>
        <v>-1.9406650847214157</v>
      </c>
    </row>
    <row r="43" spans="1:3">
      <c r="A43" s="236" t="s">
        <v>316</v>
      </c>
      <c r="B43" s="432">
        <f>+'Data Figures 7, 8, 9'!D42*100</f>
        <v>8.3853354134165272</v>
      </c>
      <c r="C43" s="432">
        <f>+'Data Figures 7, 8, 9'!E42*100</f>
        <v>6.7809305519599627</v>
      </c>
    </row>
    <row r="44" spans="1:3">
      <c r="A44" s="236" t="s">
        <v>317</v>
      </c>
      <c r="B44" s="432">
        <f>+'Data Figures 7, 8, 9'!D43*100</f>
        <v>14.645555955379663</v>
      </c>
      <c r="C44" s="432">
        <f>+'Data Figures 7, 8, 9'!E43*100</f>
        <v>2.1914312373552125</v>
      </c>
    </row>
    <row r="45" spans="1:3">
      <c r="A45" s="236" t="s">
        <v>318</v>
      </c>
      <c r="B45" s="432">
        <f>+'Data Figures 7, 8, 9'!D44*100</f>
        <v>9.322033898305083</v>
      </c>
      <c r="C45" s="432">
        <f>+'Data Figures 7, 8, 9'!E44*100</f>
        <v>29.913921093747241</v>
      </c>
    </row>
    <row r="46" spans="1:3">
      <c r="A46" s="236" t="s">
        <v>632</v>
      </c>
      <c r="B46" s="432">
        <f>+'Data Figures 7, 8, 9'!D45*100</f>
        <v>2.8136663795578443</v>
      </c>
      <c r="C46" s="432">
        <f>+'Data Figures 7, 8, 9'!E45*100</f>
        <v>12.722096198410915</v>
      </c>
    </row>
    <row r="47" spans="1:3">
      <c r="A47" s="236" t="s">
        <v>633</v>
      </c>
      <c r="B47" s="432">
        <f>+'Data Figures 7, 8, 9'!D46*100</f>
        <v>9.8575816810946737</v>
      </c>
      <c r="C47" s="432">
        <f>+'Data Figures 7, 8, 9'!E46*100</f>
        <v>17.580672198979961</v>
      </c>
    </row>
    <row r="48" spans="1:3">
      <c r="A48" s="236" t="s">
        <v>634</v>
      </c>
      <c r="B48" s="432">
        <f>+'Data Figures 7, 8, 9'!D47*100</f>
        <v>12.480935434672102</v>
      </c>
      <c r="C48" s="432">
        <f>+'Data Figures 7, 8, 9'!E47*100</f>
        <v>15.262925407997141</v>
      </c>
    </row>
    <row r="49" spans="1:3">
      <c r="A49" s="236" t="s">
        <v>635</v>
      </c>
      <c r="B49" s="432">
        <f>+'Data Figures 7, 8, 9'!D48*100</f>
        <v>5.966101694915249</v>
      </c>
      <c r="C49" s="432">
        <f>+'Data Figures 7, 8, 9'!E48*100</f>
        <v>28.32042494889988</v>
      </c>
    </row>
    <row r="50" spans="1:3">
      <c r="A50" s="236" t="s">
        <v>636</v>
      </c>
      <c r="B50" s="432">
        <f>+'Data Figures 7, 8, 9'!D49*100</f>
        <v>7.4999999999999956</v>
      </c>
      <c r="C50" s="432">
        <f>+'Data Figures 7, 8, 9'!E49*100</f>
        <v>14.974872504771053</v>
      </c>
    </row>
    <row r="51" spans="1:3">
      <c r="A51" s="236" t="s">
        <v>637</v>
      </c>
      <c r="B51" s="432">
        <f>+'Data Figures 7, 8, 9'!D50*100</f>
        <v>1.8604651162790642</v>
      </c>
      <c r="C51" s="432">
        <f>+'Data Figures 7, 8, 9'!E50*100</f>
        <v>11.336637071078615</v>
      </c>
    </row>
    <row r="52" spans="1:3">
      <c r="A52" s="236" t="s">
        <v>638</v>
      </c>
      <c r="B52" s="432">
        <f>+'Data Figures 7, 8, 9'!D51*100</f>
        <v>7.214611872146115</v>
      </c>
      <c r="C52" s="432">
        <f>+'Data Figures 7, 8, 9'!E51*100</f>
        <v>18.522431023588972</v>
      </c>
    </row>
    <row r="53" spans="1:3">
      <c r="A53" s="236" t="s">
        <v>639</v>
      </c>
      <c r="B53" s="432">
        <f>+'Data Figures 7, 8, 9'!D52*100</f>
        <v>4.9403747870528036</v>
      </c>
      <c r="C53" s="432">
        <f>+'Data Figures 7, 8, 9'!E52*100</f>
        <v>11.590310951386851</v>
      </c>
    </row>
    <row r="54" spans="1:3">
      <c r="A54" s="236" t="s">
        <v>640</v>
      </c>
      <c r="B54" s="432">
        <f>+'Data Figures 7, 8, 9'!D53*100</f>
        <v>3.9772727272727293</v>
      </c>
      <c r="C54" s="432">
        <f>+'Data Figures 7, 8, 9'!E53*100</f>
        <v>17.502390682591074</v>
      </c>
    </row>
    <row r="55" spans="1:3">
      <c r="A55" s="236" t="s">
        <v>641</v>
      </c>
      <c r="B55" s="432">
        <f>+'Data Figures 7, 8, 9'!D54*100</f>
        <v>3.7470725995316201</v>
      </c>
      <c r="C55" s="432">
        <f>+'Data Figures 7, 8, 9'!E54*100</f>
        <v>13.220251934944493</v>
      </c>
    </row>
    <row r="56" spans="1:3">
      <c r="A56" s="236" t="s">
        <v>642</v>
      </c>
      <c r="B56" s="432">
        <f>+'Data Figures 7, 8, 9'!D55*100</f>
        <v>4.2136945071482357</v>
      </c>
      <c r="C56" s="432">
        <f>+'Data Figures 7, 8, 9'!E55*100</f>
        <v>8.9412404620302866</v>
      </c>
    </row>
    <row r="57" spans="1:3">
      <c r="A57" s="236" t="s">
        <v>643</v>
      </c>
      <c r="B57" s="432">
        <f>+'Data Figures 7, 8, 9'!D56*100</f>
        <v>3.1046931407942235</v>
      </c>
      <c r="C57" s="432">
        <f>+'Data Figures 7, 8, 9'!E56*100</f>
        <v>2.871840138367876</v>
      </c>
    </row>
    <row r="58" spans="1:3">
      <c r="A58" s="236" t="s">
        <v>644</v>
      </c>
      <c r="B58" s="432">
        <f>+'Data Figures 7, 8, 9'!D57*100</f>
        <v>3.9215686274508776</v>
      </c>
      <c r="C58" s="432">
        <f>+'Data Figures 7, 8, 9'!E57*100</f>
        <v>4.9153157165945816</v>
      </c>
    </row>
    <row r="59" spans="1:3">
      <c r="B59" s="432"/>
      <c r="C59" s="432"/>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workbookViewId="0"/>
  </sheetViews>
  <sheetFormatPr defaultColWidth="9.109375" defaultRowHeight="14.4"/>
  <cols>
    <col min="1" max="16384" width="9.109375" style="236"/>
  </cols>
  <sheetData>
    <row r="1" spans="1:3">
      <c r="A1" s="236" t="s">
        <v>607</v>
      </c>
      <c r="B1" s="236" t="s">
        <v>1364</v>
      </c>
    </row>
    <row r="3" spans="1:3">
      <c r="B3" s="236" t="s">
        <v>1365</v>
      </c>
      <c r="C3" s="236" t="s">
        <v>1366</v>
      </c>
    </row>
    <row r="4" spans="1:3">
      <c r="A4" s="236" t="s">
        <v>297</v>
      </c>
      <c r="B4" s="432">
        <f>+'Data Figures 7, 8, 9'!B3*100</f>
        <v>13.282447034863539</v>
      </c>
      <c r="C4" s="432">
        <f>+'Data Figures 7, 8, 9'!C3*100</f>
        <v>13.123331838168713</v>
      </c>
    </row>
    <row r="5" spans="1:3">
      <c r="A5" s="236" t="s">
        <v>298</v>
      </c>
      <c r="B5" s="432">
        <f>+'Data Figures 7, 8, 9'!B4*100</f>
        <v>12.813244622011927</v>
      </c>
      <c r="C5" s="432">
        <f>+'Data Figures 7, 8, 9'!C4*100</f>
        <v>14.026428221688587</v>
      </c>
    </row>
    <row r="6" spans="1:3">
      <c r="A6" s="236" t="s">
        <v>299</v>
      </c>
      <c r="B6" s="432">
        <f>+'Data Figures 7, 8, 9'!B5*100</f>
        <v>12.856792502531992</v>
      </c>
      <c r="C6" s="432">
        <f>+'Data Figures 7, 8, 9'!C5*100</f>
        <v>14.112009515466134</v>
      </c>
    </row>
    <row r="7" spans="1:3">
      <c r="A7" s="236" t="s">
        <v>300</v>
      </c>
      <c r="B7" s="432">
        <f>+'Data Figures 7, 8, 9'!B6*100</f>
        <v>15.086378419189995</v>
      </c>
      <c r="C7" s="432">
        <f>+'Data Figures 7, 8, 9'!C6*100</f>
        <v>14.503234157391171</v>
      </c>
    </row>
    <row r="8" spans="1:3">
      <c r="A8" s="236" t="s">
        <v>301</v>
      </c>
      <c r="B8" s="432">
        <f>+'Data Figures 7, 8, 9'!B7*100</f>
        <v>15.097604923990518</v>
      </c>
      <c r="C8" s="432">
        <f>+'Data Figures 7, 8, 9'!C7*100</f>
        <v>16.830949991928097</v>
      </c>
    </row>
    <row r="9" spans="1:3">
      <c r="A9" s="236" t="s">
        <v>302</v>
      </c>
      <c r="B9" s="432">
        <f>+'Data Figures 7, 8, 9'!B8*100</f>
        <v>15.766704882745614</v>
      </c>
      <c r="C9" s="432">
        <f>+'Data Figures 7, 8, 9'!C8*100</f>
        <v>20.421134596180437</v>
      </c>
    </row>
    <row r="10" spans="1:3">
      <c r="A10" s="236" t="s">
        <v>303</v>
      </c>
      <c r="B10" s="432">
        <f>+'Data Figures 7, 8, 9'!B9*100</f>
        <v>16.73943643520802</v>
      </c>
      <c r="C10" s="432">
        <f>+'Data Figures 7, 8, 9'!C9*100</f>
        <v>21.715845775999906</v>
      </c>
    </row>
    <row r="11" spans="1:3">
      <c r="A11" s="236" t="s">
        <v>304</v>
      </c>
      <c r="B11" s="432">
        <f>+'Data Figures 7, 8, 9'!B10*100</f>
        <v>17.018181537656361</v>
      </c>
      <c r="C11" s="432">
        <f>+'Data Figures 7, 8, 9'!C10*100</f>
        <v>18.242412034830593</v>
      </c>
    </row>
    <row r="12" spans="1:3">
      <c r="A12" s="236" t="s">
        <v>305</v>
      </c>
      <c r="B12" s="432">
        <f>+'Data Figures 7, 8, 9'!B11*100</f>
        <v>17.05004306064442</v>
      </c>
      <c r="C12" s="432">
        <f>+'Data Figures 7, 8, 9'!C11*100</f>
        <v>17.706648332468372</v>
      </c>
    </row>
    <row r="13" spans="1:3">
      <c r="A13" s="236" t="s">
        <v>306</v>
      </c>
      <c r="B13" s="432">
        <f>+'Data Figures 7, 8, 9'!B12*100</f>
        <v>15.642437552450698</v>
      </c>
      <c r="C13" s="432">
        <f>+'Data Figures 7, 8, 9'!C12*100</f>
        <v>17.323439255438153</v>
      </c>
    </row>
    <row r="14" spans="1:3">
      <c r="A14" s="236" t="s">
        <v>307</v>
      </c>
      <c r="B14" s="432">
        <f>+'Data Figures 7, 8, 9'!B13*100</f>
        <v>14.816963436833467</v>
      </c>
      <c r="C14" s="432">
        <f>+'Data Figures 7, 8, 9'!C13*100</f>
        <v>17.492849213450114</v>
      </c>
    </row>
    <row r="15" spans="1:3">
      <c r="A15" s="236" t="s">
        <v>308</v>
      </c>
      <c r="B15" s="432">
        <f>+'Data Figures 7, 8, 9'!B14*100</f>
        <v>13.974782448075121</v>
      </c>
      <c r="C15" s="432">
        <f>+'Data Figures 7, 8, 9'!C14*100</f>
        <v>14.982287517288198</v>
      </c>
    </row>
    <row r="16" spans="1:3">
      <c r="A16" s="236" t="s">
        <v>309</v>
      </c>
      <c r="B16" s="432">
        <f>+'Data Figures 7, 8, 9'!B15*100</f>
        <v>13.694824523991686</v>
      </c>
      <c r="C16" s="432">
        <f>+'Data Figures 7, 8, 9'!C15*100</f>
        <v>14.269080933983222</v>
      </c>
    </row>
    <row r="17" spans="1:3">
      <c r="A17" s="236" t="s">
        <v>310</v>
      </c>
      <c r="B17" s="432">
        <f>+'Data Figures 7, 8, 9'!B16*100</f>
        <v>13.730636209097947</v>
      </c>
      <c r="C17" s="432">
        <f>+'Data Figures 7, 8, 9'!C16*100</f>
        <v>19.956197133457319</v>
      </c>
    </row>
    <row r="18" spans="1:3">
      <c r="A18" s="236" t="s">
        <v>612</v>
      </c>
      <c r="B18" s="432">
        <f>+'Data Figures 7, 8, 9'!B17*100</f>
        <v>14.413215731199061</v>
      </c>
      <c r="C18" s="432">
        <f>+'Data Figures 7, 8, 9'!C17*100</f>
        <v>18.016841591068154</v>
      </c>
    </row>
    <row r="19" spans="1:3">
      <c r="A19" s="236" t="s">
        <v>613</v>
      </c>
      <c r="B19" s="432">
        <f>+'Data Figures 7, 8, 9'!B18*100</f>
        <v>14.189738414853153</v>
      </c>
      <c r="C19" s="432">
        <f>+'Data Figures 7, 8, 9'!C18*100</f>
        <v>15.938601647688335</v>
      </c>
    </row>
    <row r="20" spans="1:3">
      <c r="A20" s="236" t="s">
        <v>614</v>
      </c>
      <c r="B20" s="432">
        <f>+'Data Figures 7, 8, 9'!B19*100</f>
        <v>15.073944028855241</v>
      </c>
      <c r="C20" s="432">
        <f>+'Data Figures 7, 8, 9'!C19*100</f>
        <v>17.274784025147078</v>
      </c>
    </row>
    <row r="21" spans="1:3">
      <c r="A21" s="236" t="s">
        <v>615</v>
      </c>
      <c r="B21" s="432">
        <f>+'Data Figures 7, 8, 9'!B20*100</f>
        <v>16.205531634142542</v>
      </c>
      <c r="C21" s="432">
        <f>+'Data Figures 7, 8, 9'!C20*100</f>
        <v>14.586649248483621</v>
      </c>
    </row>
    <row r="22" spans="1:3">
      <c r="A22" s="236" t="s">
        <v>616</v>
      </c>
      <c r="B22" s="432">
        <f>+'Data Figures 7, 8, 9'!B21*100</f>
        <v>14.92540856300054</v>
      </c>
      <c r="C22" s="432">
        <f>+'Data Figures 7, 8, 9'!C21*100</f>
        <v>14.534349823358605</v>
      </c>
    </row>
    <row r="23" spans="1:3">
      <c r="A23" s="236" t="s">
        <v>617</v>
      </c>
      <c r="B23" s="432">
        <f>+'Data Figures 7, 8, 9'!B22*100</f>
        <v>18.610034733214167</v>
      </c>
      <c r="C23" s="432">
        <f>+'Data Figures 7, 8, 9'!C22*100</f>
        <v>21.608760467571212</v>
      </c>
    </row>
    <row r="24" spans="1:3">
      <c r="A24" s="236" t="s">
        <v>618</v>
      </c>
      <c r="B24" s="432">
        <f>+'Data Figures 7, 8, 9'!B23*100</f>
        <v>16.073914648335958</v>
      </c>
      <c r="C24" s="432">
        <f>+'Data Figures 7, 8, 9'!C23*100</f>
        <v>17.189897277472298</v>
      </c>
    </row>
    <row r="25" spans="1:3">
      <c r="A25" s="236" t="s">
        <v>619</v>
      </c>
      <c r="B25" s="432">
        <f>+'Data Figures 7, 8, 9'!B24*100</f>
        <v>13.972872731896462</v>
      </c>
      <c r="C25" s="432">
        <f>+'Data Figures 7, 8, 9'!C24*100</f>
        <v>19.237201175694292</v>
      </c>
    </row>
    <row r="26" spans="1:3">
      <c r="A26" s="236" t="s">
        <v>620</v>
      </c>
      <c r="B26" s="432">
        <f>+'Data Figures 7, 8, 9'!B25*100</f>
        <v>13.035202302968466</v>
      </c>
      <c r="C26" s="432">
        <f>+'Data Figures 7, 8, 9'!C25*100</f>
        <v>21.010223059235937</v>
      </c>
    </row>
    <row r="27" spans="1:3">
      <c r="A27" s="236" t="s">
        <v>621</v>
      </c>
      <c r="B27" s="432">
        <f>+'Data Figures 7, 8, 9'!B26*100</f>
        <v>13.744626574359348</v>
      </c>
      <c r="C27" s="432">
        <f>+'Data Figures 7, 8, 9'!C26*100</f>
        <v>18.541207702612279</v>
      </c>
    </row>
    <row r="28" spans="1:3">
      <c r="A28" s="236" t="s">
        <v>622</v>
      </c>
      <c r="B28" s="432">
        <f>+'Data Figures 7, 8, 9'!B27*100</f>
        <v>12.107117385395913</v>
      </c>
      <c r="C28" s="432">
        <f>+'Data Figures 7, 8, 9'!C27*100</f>
        <v>15.229059682574325</v>
      </c>
    </row>
    <row r="29" spans="1:3">
      <c r="A29" s="236" t="s">
        <v>623</v>
      </c>
      <c r="B29" s="432">
        <f>+'Data Figures 7, 8, 9'!B28*100</f>
        <v>12.725300387646577</v>
      </c>
      <c r="C29" s="432">
        <f>+'Data Figures 7, 8, 9'!C28*100</f>
        <v>13.874971065703722</v>
      </c>
    </row>
    <row r="30" spans="1:3">
      <c r="A30" s="236" t="s">
        <v>624</v>
      </c>
      <c r="B30" s="432">
        <f>+'Data Figures 7, 8, 9'!B29*100</f>
        <v>12.156099297477162</v>
      </c>
      <c r="C30" s="432">
        <f>+'Data Figures 7, 8, 9'!C29*100</f>
        <v>14.449792210563716</v>
      </c>
    </row>
    <row r="31" spans="1:3">
      <c r="A31" s="236" t="s">
        <v>625</v>
      </c>
      <c r="B31" s="432">
        <f>+'Data Figures 7, 8, 9'!B30*100</f>
        <v>14.692657836889666</v>
      </c>
      <c r="C31" s="432">
        <f>+'Data Figures 7, 8, 9'!C30*100</f>
        <v>15.096185952306371</v>
      </c>
    </row>
    <row r="32" spans="1:3">
      <c r="A32" s="236" t="s">
        <v>626</v>
      </c>
      <c r="B32" s="432">
        <f>+'Data Figures 7, 8, 9'!B31*100</f>
        <v>23.506263065901276</v>
      </c>
      <c r="C32" s="432">
        <f>+'Data Figures 7, 8, 9'!C31*100</f>
        <v>11.212016134722097</v>
      </c>
    </row>
    <row r="33" spans="1:3">
      <c r="A33" s="236" t="s">
        <v>627</v>
      </c>
      <c r="B33" s="432">
        <f>+'Data Figures 7, 8, 9'!B32*100</f>
        <v>21.534539918168665</v>
      </c>
      <c r="C33" s="432">
        <f>+'Data Figures 7, 8, 9'!C32*100</f>
        <v>13.246670682450437</v>
      </c>
    </row>
    <row r="34" spans="1:3">
      <c r="A34" s="236" t="s">
        <v>628</v>
      </c>
      <c r="B34" s="432">
        <f>+'Data Figures 7, 8, 9'!B33*100</f>
        <v>22.778911094436708</v>
      </c>
      <c r="C34" s="432">
        <f>+'Data Figures 7, 8, 9'!C33*100</f>
        <v>16.08742250467839</v>
      </c>
    </row>
    <row r="35" spans="1:3">
      <c r="A35" s="236" t="s">
        <v>629</v>
      </c>
      <c r="B35" s="432">
        <f>+'Data Figures 7, 8, 9'!B34*100</f>
        <v>24.176279985929533</v>
      </c>
      <c r="C35" s="432">
        <f>+'Data Figures 7, 8, 9'!C34*100</f>
        <v>16.333839099776927</v>
      </c>
    </row>
    <row r="36" spans="1:3">
      <c r="A36" s="236" t="s">
        <v>630</v>
      </c>
      <c r="B36" s="432">
        <f>+'Data Figures 7, 8, 9'!B35*100</f>
        <v>26.491409634228962</v>
      </c>
      <c r="C36" s="432">
        <f>+'Data Figures 7, 8, 9'!C35*100</f>
        <v>16.714524817756075</v>
      </c>
    </row>
    <row r="37" spans="1:3">
      <c r="A37" s="236" t="s">
        <v>631</v>
      </c>
      <c r="B37" s="432">
        <f>+'Data Figures 7, 8, 9'!B36*100</f>
        <v>25.424133181132767</v>
      </c>
      <c r="C37" s="432">
        <f>+'Data Figures 7, 8, 9'!C36*100</f>
        <v>17.915425059610669</v>
      </c>
    </row>
    <row r="38" spans="1:3">
      <c r="A38" s="236" t="s">
        <v>311</v>
      </c>
      <c r="B38" s="432">
        <f>+'Data Figures 7, 8, 9'!B37*100</f>
        <v>26.455185427857757</v>
      </c>
      <c r="C38" s="432">
        <f>+'Data Figures 7, 8, 9'!C37*100</f>
        <v>19.034034909286309</v>
      </c>
    </row>
    <row r="39" spans="1:3">
      <c r="A39" s="236" t="s">
        <v>312</v>
      </c>
      <c r="B39" s="432">
        <f>+'Data Figures 7, 8, 9'!B38*100</f>
        <v>29.020922330290162</v>
      </c>
      <c r="C39" s="432">
        <f>+'Data Figures 7, 8, 9'!C38*100</f>
        <v>23.086789130795577</v>
      </c>
    </row>
    <row r="40" spans="1:3">
      <c r="A40" s="236" t="s">
        <v>313</v>
      </c>
      <c r="B40" s="432">
        <f>+'Data Figures 7, 8, 9'!B39*100</f>
        <v>22.114335428098364</v>
      </c>
      <c r="C40" s="432">
        <f>+'Data Figures 7, 8, 9'!C39*100</f>
        <v>20.490630371310033</v>
      </c>
    </row>
    <row r="41" spans="1:3">
      <c r="A41" s="236" t="s">
        <v>314</v>
      </c>
      <c r="B41" s="432">
        <f>+'Data Figures 7, 8, 9'!B40*100</f>
        <v>29.090455123390903</v>
      </c>
      <c r="C41" s="432">
        <f>+'Data Figures 7, 8, 9'!C40*100</f>
        <v>32.067231964378593</v>
      </c>
    </row>
    <row r="42" spans="1:3">
      <c r="A42" s="236" t="s">
        <v>315</v>
      </c>
      <c r="B42" s="432">
        <f>+'Data Figures 7, 8, 9'!B41*100</f>
        <v>30.475702905018426</v>
      </c>
      <c r="C42" s="432">
        <f>+'Data Figures 7, 8, 9'!C41*100</f>
        <v>33.465358683565185</v>
      </c>
    </row>
    <row r="43" spans="1:3">
      <c r="A43" s="236" t="s">
        <v>316</v>
      </c>
      <c r="B43" s="432">
        <f>+'Data Figures 7, 8, 9'!B42*100</f>
        <v>30.190289580087914</v>
      </c>
      <c r="C43" s="432">
        <f>+'Data Figures 7, 8, 9'!C42*100</f>
        <v>29.38684753339923</v>
      </c>
    </row>
    <row r="44" spans="1:3">
      <c r="A44" s="236" t="s">
        <v>317</v>
      </c>
      <c r="B44" s="432">
        <f>+'Data Figures 7, 8, 9'!B43*100</f>
        <v>26.813040917419311</v>
      </c>
      <c r="C44" s="432">
        <f>+'Data Figures 7, 8, 9'!C43*100</f>
        <v>29.045591569332192</v>
      </c>
    </row>
    <row r="45" spans="1:3">
      <c r="A45" s="236" t="s">
        <v>318</v>
      </c>
      <c r="B45" s="432">
        <f>+'Data Figures 7, 8, 9'!B44*100</f>
        <v>26.844923811169348</v>
      </c>
      <c r="C45" s="432">
        <f>+'Data Figures 7, 8, 9'!C44*100</f>
        <v>26.224176102075674</v>
      </c>
    </row>
    <row r="46" spans="1:3">
      <c r="A46" s="236" t="s">
        <v>632</v>
      </c>
      <c r="B46" s="432">
        <f>+'Data Figures 7, 8, 9'!B45*100</f>
        <v>29.361718890261862</v>
      </c>
      <c r="C46" s="432">
        <f>+'Data Figures 7, 8, 9'!C45*100</f>
        <v>27.547939119450504</v>
      </c>
    </row>
    <row r="47" spans="1:3">
      <c r="A47" s="236" t="s">
        <v>633</v>
      </c>
      <c r="B47" s="432">
        <f>+'Data Figures 7, 8, 9'!B46*100</f>
        <v>29.820435805460832</v>
      </c>
      <c r="C47" s="432">
        <f>+'Data Figures 7, 8, 9'!C46*100</f>
        <v>28.458214024856087</v>
      </c>
    </row>
    <row r="48" spans="1:3">
      <c r="A48" s="236" t="s">
        <v>634</v>
      </c>
      <c r="B48" s="432">
        <f>+'Data Figures 7, 8, 9'!B47*100</f>
        <v>30.143039974026632</v>
      </c>
      <c r="C48" s="432">
        <f>+'Data Figures 7, 8, 9'!C47*100</f>
        <v>28.147296879566667</v>
      </c>
    </row>
    <row r="49" spans="1:3">
      <c r="A49" s="236" t="s">
        <v>635</v>
      </c>
      <c r="B49" s="432">
        <f>+'Data Figures 7, 8, 9'!B48*100</f>
        <v>26.970367744853647</v>
      </c>
      <c r="C49" s="432">
        <f>+'Data Figures 7, 8, 9'!C48*100</f>
        <v>25.193474674969572</v>
      </c>
    </row>
    <row r="50" spans="1:3">
      <c r="A50" s="236" t="s">
        <v>636</v>
      </c>
      <c r="B50" s="432">
        <f>+'Data Figures 7, 8, 9'!B49*100</f>
        <v>27.651247361555541</v>
      </c>
      <c r="C50" s="432">
        <f>+'Data Figures 7, 8, 9'!C49*100</f>
        <v>24.541232463694922</v>
      </c>
    </row>
    <row r="51" spans="1:3">
      <c r="A51" s="236" t="s">
        <v>637</v>
      </c>
      <c r="B51" s="432">
        <f>+'Data Figures 7, 8, 9'!B50*100</f>
        <v>29.592250563406186</v>
      </c>
      <c r="C51" s="432">
        <f>+'Data Figures 7, 8, 9'!C50*100</f>
        <v>30.043253284277071</v>
      </c>
    </row>
    <row r="52" spans="1:3">
      <c r="A52" s="236" t="s">
        <v>638</v>
      </c>
      <c r="B52" s="432">
        <f>+'Data Figures 7, 8, 9'!B51*100</f>
        <v>27.434935228837077</v>
      </c>
      <c r="C52" s="432">
        <f>+'Data Figures 7, 8, 9'!C51*100</f>
        <v>26.627762280130497</v>
      </c>
    </row>
    <row r="53" spans="1:3">
      <c r="A53" s="236" t="s">
        <v>639</v>
      </c>
      <c r="B53" s="432">
        <f>+'Data Figures 7, 8, 9'!B52*100</f>
        <v>29.751798237367776</v>
      </c>
      <c r="C53" s="432">
        <f>+'Data Figures 7, 8, 9'!C52*100</f>
        <v>28.367866417355042</v>
      </c>
    </row>
    <row r="54" spans="1:3">
      <c r="A54" s="236" t="s">
        <v>640</v>
      </c>
      <c r="B54" s="432">
        <f>+'Data Figures 7, 8, 9'!B53*100</f>
        <v>31.193251651933689</v>
      </c>
      <c r="C54" s="432">
        <f>+'Data Figures 7, 8, 9'!C53*100</f>
        <v>32.732837602825605</v>
      </c>
    </row>
    <row r="55" spans="1:3">
      <c r="A55" s="236" t="s">
        <v>641</v>
      </c>
      <c r="B55" s="432">
        <f>+'Data Figures 7, 8, 9'!B54*100</f>
        <v>27.82109814896776</v>
      </c>
      <c r="C55" s="432">
        <f>+'Data Figures 7, 8, 9'!C54*100</f>
        <v>29.438285101213108</v>
      </c>
    </row>
    <row r="56" spans="1:3">
      <c r="A56" s="236" t="s">
        <v>642</v>
      </c>
      <c r="B56" s="432">
        <f>+'Data Figures 7, 8, 9'!B55*100</f>
        <v>29.009492628724253</v>
      </c>
      <c r="C56" s="432">
        <f>+'Data Figures 7, 8, 9'!C55*100</f>
        <v>29.683700189138406</v>
      </c>
    </row>
    <row r="57" spans="1:3">
      <c r="A57" s="236" t="s">
        <v>643</v>
      </c>
      <c r="B57" s="432">
        <f>+'Data Figures 7, 8, 9'!B56*100</f>
        <v>29.683448292000499</v>
      </c>
      <c r="C57" s="432">
        <f>+'Data Figures 7, 8, 9'!C56*100</f>
        <v>26.084449461925008</v>
      </c>
    </row>
    <row r="58" spans="1:3">
      <c r="B58" s="432"/>
      <c r="C58" s="432"/>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tabSelected="1" workbookViewId="0"/>
  </sheetViews>
  <sheetFormatPr defaultColWidth="9.109375" defaultRowHeight="14.4"/>
  <cols>
    <col min="1" max="16384" width="9.109375" style="236"/>
  </cols>
  <sheetData>
    <row r="1" spans="1:6">
      <c r="A1" s="236" t="s">
        <v>607</v>
      </c>
      <c r="B1" s="236" t="s">
        <v>1340</v>
      </c>
    </row>
    <row r="3" spans="1:6">
      <c r="B3" s="236" t="s">
        <v>1341</v>
      </c>
      <c r="C3" s="236" t="s">
        <v>1375</v>
      </c>
      <c r="D3" s="236" t="s">
        <v>1376</v>
      </c>
      <c r="E3" s="236" t="s">
        <v>1377</v>
      </c>
      <c r="F3" s="236" t="s">
        <v>1342</v>
      </c>
    </row>
    <row r="4" spans="1:6">
      <c r="A4" s="432" t="s">
        <v>618</v>
      </c>
      <c r="B4" s="433">
        <v>126</v>
      </c>
      <c r="C4" s="433">
        <v>126</v>
      </c>
      <c r="D4" s="433">
        <v>126</v>
      </c>
      <c r="E4" s="433">
        <v>126</v>
      </c>
      <c r="F4" s="433">
        <v>205.66666666666666</v>
      </c>
    </row>
    <row r="5" spans="1:6">
      <c r="A5" s="432" t="s">
        <v>619</v>
      </c>
      <c r="B5" s="433">
        <v>126</v>
      </c>
      <c r="C5" s="433">
        <f>+(126+160)/2</f>
        <v>143</v>
      </c>
      <c r="D5" s="433">
        <v>126</v>
      </c>
      <c r="E5" s="433">
        <v>126</v>
      </c>
      <c r="F5" s="433">
        <v>320.75</v>
      </c>
    </row>
    <row r="6" spans="1:6">
      <c r="A6" s="432" t="s">
        <v>620</v>
      </c>
      <c r="B6" s="433">
        <v>160</v>
      </c>
      <c r="C6" s="433">
        <v>240</v>
      </c>
      <c r="D6" s="433">
        <v>160</v>
      </c>
      <c r="E6" s="433">
        <v>160</v>
      </c>
      <c r="F6" s="433">
        <v>388.25</v>
      </c>
    </row>
    <row r="7" spans="1:6">
      <c r="A7" s="432" t="s">
        <v>621</v>
      </c>
      <c r="B7" s="433">
        <v>240</v>
      </c>
      <c r="C7" s="433">
        <v>160</v>
      </c>
      <c r="D7" s="433">
        <v>240</v>
      </c>
      <c r="E7" s="433">
        <v>160</v>
      </c>
      <c r="F7" s="433">
        <v>612.5</v>
      </c>
    </row>
    <row r="8" spans="1:6">
      <c r="A8" s="432" t="s">
        <v>622</v>
      </c>
      <c r="B8" s="433">
        <v>240</v>
      </c>
      <c r="C8" s="433">
        <v>240</v>
      </c>
      <c r="D8" s="433">
        <v>240</v>
      </c>
      <c r="E8" s="433">
        <v>200</v>
      </c>
      <c r="F8" s="433">
        <v>702.5</v>
      </c>
    </row>
    <row r="9" spans="1:6">
      <c r="A9" s="432" t="s">
        <v>623</v>
      </c>
      <c r="B9" s="433">
        <v>400</v>
      </c>
      <c r="C9" s="433">
        <v>400</v>
      </c>
      <c r="D9" s="433">
        <v>240</v>
      </c>
      <c r="E9" s="433">
        <v>280</v>
      </c>
      <c r="F9" s="433">
        <v>807.25</v>
      </c>
    </row>
    <row r="10" spans="1:6">
      <c r="A10" s="432" t="s">
        <v>624</v>
      </c>
      <c r="B10" s="433">
        <v>400</v>
      </c>
      <c r="C10" s="433">
        <v>400</v>
      </c>
      <c r="D10" s="433">
        <v>400</v>
      </c>
      <c r="E10" s="433">
        <v>400</v>
      </c>
      <c r="F10" s="433">
        <v>807.25</v>
      </c>
    </row>
    <row r="11" spans="1:6">
      <c r="B11" s="432"/>
      <c r="C11" s="432"/>
    </row>
    <row r="12" spans="1:6">
      <c r="B12" s="432"/>
      <c r="C12" s="432"/>
    </row>
    <row r="13" spans="1:6">
      <c r="B13" s="432"/>
      <c r="C13" s="432"/>
    </row>
    <row r="14" spans="1:6">
      <c r="B14" s="432"/>
      <c r="C14" s="432"/>
    </row>
    <row r="15" spans="1:6">
      <c r="B15" s="432"/>
      <c r="C15" s="432"/>
    </row>
    <row r="16" spans="1:6">
      <c r="B16" s="432"/>
      <c r="C16" s="432"/>
    </row>
    <row r="17" spans="2:3">
      <c r="B17" s="432"/>
      <c r="C17" s="432"/>
    </row>
    <row r="18" spans="2:3">
      <c r="B18" s="432"/>
      <c r="C18" s="432"/>
    </row>
    <row r="19" spans="2:3">
      <c r="B19" s="432"/>
      <c r="C19" s="432"/>
    </row>
    <row r="20" spans="2:3">
      <c r="B20" s="432"/>
      <c r="C20" s="432"/>
    </row>
    <row r="21" spans="2:3">
      <c r="B21" s="432"/>
      <c r="C21" s="432"/>
    </row>
    <row r="22" spans="2:3">
      <c r="B22" s="432"/>
      <c r="C22" s="432"/>
    </row>
    <row r="23" spans="2:3">
      <c r="B23" s="432"/>
      <c r="C23" s="432"/>
    </row>
    <row r="24" spans="2:3">
      <c r="B24" s="432"/>
      <c r="C24" s="432"/>
    </row>
    <row r="25" spans="2:3">
      <c r="B25" s="432"/>
      <c r="C25" s="432"/>
    </row>
    <row r="26" spans="2:3">
      <c r="B26" s="432"/>
      <c r="C26" s="432"/>
    </row>
    <row r="27" spans="2:3">
      <c r="B27" s="432"/>
      <c r="C27" s="432"/>
    </row>
    <row r="28" spans="2:3">
      <c r="B28" s="432"/>
      <c r="C28" s="432"/>
    </row>
    <row r="29" spans="2:3">
      <c r="B29" s="432"/>
      <c r="C29" s="432"/>
    </row>
    <row r="30" spans="2:3">
      <c r="B30" s="432"/>
      <c r="C30" s="432"/>
    </row>
    <row r="31" spans="2:3">
      <c r="B31" s="432"/>
      <c r="C31" s="432"/>
    </row>
    <row r="32" spans="2:3">
      <c r="B32" s="432"/>
      <c r="C32" s="432"/>
    </row>
    <row r="33" spans="2:3">
      <c r="B33" s="432"/>
      <c r="C33" s="432"/>
    </row>
    <row r="34" spans="2:3">
      <c r="B34" s="432"/>
      <c r="C34" s="432"/>
    </row>
    <row r="35" spans="2:3">
      <c r="B35" s="432"/>
      <c r="C35" s="432"/>
    </row>
    <row r="36" spans="2:3">
      <c r="B36" s="432"/>
      <c r="C36" s="432"/>
    </row>
    <row r="37" spans="2:3">
      <c r="B37" s="432"/>
      <c r="C37" s="432"/>
    </row>
    <row r="38" spans="2:3">
      <c r="B38" s="432"/>
      <c r="C38" s="432"/>
    </row>
    <row r="39" spans="2:3">
      <c r="B39" s="432"/>
      <c r="C39" s="432"/>
    </row>
    <row r="40" spans="2:3">
      <c r="B40" s="432"/>
      <c r="C40" s="432"/>
    </row>
    <row r="41" spans="2:3">
      <c r="B41" s="432"/>
      <c r="C41" s="432"/>
    </row>
    <row r="42" spans="2:3">
      <c r="B42" s="432"/>
      <c r="C42" s="432"/>
    </row>
    <row r="43" spans="2:3">
      <c r="B43" s="432"/>
      <c r="C43" s="432"/>
    </row>
    <row r="44" spans="2:3">
      <c r="B44" s="432"/>
      <c r="C44" s="432"/>
    </row>
    <row r="45" spans="2:3">
      <c r="B45" s="432"/>
      <c r="C45" s="432"/>
    </row>
    <row r="46" spans="2:3">
      <c r="B46" s="432"/>
      <c r="C46" s="432"/>
    </row>
    <row r="47" spans="2:3">
      <c r="B47" s="432"/>
      <c r="C47" s="432"/>
    </row>
    <row r="48" spans="2:3">
      <c r="B48" s="432"/>
      <c r="C48" s="432"/>
    </row>
    <row r="49" spans="2:3">
      <c r="B49" s="432"/>
      <c r="C49" s="432"/>
    </row>
    <row r="50" spans="2:3">
      <c r="B50" s="432"/>
      <c r="C50" s="432"/>
    </row>
    <row r="51" spans="2:3">
      <c r="B51" s="432"/>
      <c r="C51" s="432"/>
    </row>
    <row r="52" spans="2:3">
      <c r="B52" s="432"/>
      <c r="C52" s="432"/>
    </row>
    <row r="53" spans="2:3">
      <c r="B53" s="432"/>
      <c r="C53" s="432"/>
    </row>
    <row r="54" spans="2:3">
      <c r="B54" s="432"/>
      <c r="C54" s="432"/>
    </row>
    <row r="55" spans="2:3">
      <c r="B55" s="432"/>
      <c r="C55" s="432"/>
    </row>
    <row r="56" spans="2:3">
      <c r="B56" s="432"/>
      <c r="C56" s="432"/>
    </row>
    <row r="57" spans="2:3">
      <c r="B57" s="432"/>
      <c r="C57" s="432"/>
    </row>
    <row r="58" spans="2:3">
      <c r="B58" s="432"/>
      <c r="C58" s="432"/>
    </row>
    <row r="59" spans="2:3">
      <c r="B59" s="432"/>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
  <sheetViews>
    <sheetView workbookViewId="0"/>
  </sheetViews>
  <sheetFormatPr defaultColWidth="9.109375" defaultRowHeight="14.4"/>
  <cols>
    <col min="1" max="16384" width="9.109375" style="236"/>
  </cols>
  <sheetData>
    <row r="1" spans="1:3">
      <c r="A1" s="236" t="s">
        <v>607</v>
      </c>
      <c r="B1" s="236" t="s">
        <v>1356</v>
      </c>
    </row>
    <row r="4" spans="1:3">
      <c r="A4" s="236" t="s">
        <v>611</v>
      </c>
      <c r="B4" s="432">
        <f>+RER!I5</f>
        <v>6.7982742665411209</v>
      </c>
      <c r="C4" s="432"/>
    </row>
    <row r="5" spans="1:3">
      <c r="A5" s="236" t="s">
        <v>297</v>
      </c>
      <c r="B5" s="432">
        <f>+RER!I6</f>
        <v>6.7610919840396413</v>
      </c>
      <c r="C5" s="432"/>
    </row>
    <row r="6" spans="1:3">
      <c r="A6" s="236" t="s">
        <v>298</v>
      </c>
      <c r="B6" s="432">
        <f>+RER!I7</f>
        <v>6.7429501260830271</v>
      </c>
      <c r="C6" s="432"/>
    </row>
    <row r="7" spans="1:3">
      <c r="A7" s="236" t="s">
        <v>299</v>
      </c>
      <c r="B7" s="432">
        <f>+RER!I8</f>
        <v>6.8602853923729468</v>
      </c>
      <c r="C7" s="432"/>
    </row>
    <row r="8" spans="1:3">
      <c r="A8" s="236" t="s">
        <v>300</v>
      </c>
      <c r="B8" s="432">
        <f>+RER!I9</f>
        <v>6.7982965176957437</v>
      </c>
      <c r="C8" s="432"/>
    </row>
    <row r="9" spans="1:3">
      <c r="A9" s="236" t="s">
        <v>301</v>
      </c>
      <c r="B9" s="432">
        <f>+RER!I10</f>
        <v>6.7154172292667411</v>
      </c>
      <c r="C9" s="432"/>
    </row>
    <row r="10" spans="1:3">
      <c r="A10" s="236" t="s">
        <v>302</v>
      </c>
      <c r="B10" s="432">
        <f>+RER!I11</f>
        <v>6.7845566292674588</v>
      </c>
      <c r="C10" s="432"/>
    </row>
    <row r="11" spans="1:3">
      <c r="A11" s="236" t="s">
        <v>303</v>
      </c>
      <c r="B11" s="432">
        <f>+RER!I12</f>
        <v>6.7156404469183713</v>
      </c>
      <c r="C11" s="432"/>
    </row>
    <row r="12" spans="1:3">
      <c r="A12" s="236" t="s">
        <v>304</v>
      </c>
      <c r="B12" s="432">
        <f>+RER!I13</f>
        <v>6.7574705287594146</v>
      </c>
      <c r="C12" s="432"/>
    </row>
    <row r="13" spans="1:3">
      <c r="A13" s="236" t="s">
        <v>305</v>
      </c>
      <c r="B13" s="432">
        <f>+RER!I14</f>
        <v>6.8380682633626417</v>
      </c>
      <c r="C13" s="432"/>
    </row>
    <row r="14" spans="1:3">
      <c r="A14" s="236" t="s">
        <v>306</v>
      </c>
      <c r="B14" s="432">
        <f>+RER!I15</f>
        <v>6.7853198541021369</v>
      </c>
      <c r="C14" s="432"/>
    </row>
    <row r="15" spans="1:3">
      <c r="A15" s="236" t="s">
        <v>307</v>
      </c>
      <c r="B15" s="432">
        <f>+RER!I16</f>
        <v>6.6917338730686939</v>
      </c>
      <c r="C15" s="432"/>
    </row>
    <row r="16" spans="1:3">
      <c r="A16" s="236" t="s">
        <v>308</v>
      </c>
      <c r="B16" s="432">
        <f>+RER!I17</f>
        <v>6.5676941995036824</v>
      </c>
      <c r="C16" s="432"/>
    </row>
    <row r="17" spans="1:3">
      <c r="A17" s="236" t="s">
        <v>309</v>
      </c>
      <c r="B17" s="432">
        <f>+RER!I18</f>
        <v>6.4498209673480424</v>
      </c>
      <c r="C17" s="432"/>
    </row>
    <row r="18" spans="1:3">
      <c r="A18" s="236" t="s">
        <v>310</v>
      </c>
      <c r="B18" s="432">
        <f>+RER!I19</f>
        <v>6.6054046938229183</v>
      </c>
      <c r="C18" s="432"/>
    </row>
    <row r="19" spans="1:3">
      <c r="A19" s="236" t="s">
        <v>612</v>
      </c>
      <c r="B19" s="432">
        <f>+RER!I20</f>
        <v>6.6379035818820187</v>
      </c>
      <c r="C19" s="432"/>
    </row>
    <row r="20" spans="1:3">
      <c r="A20" s="236" t="s">
        <v>613</v>
      </c>
      <c r="B20" s="432">
        <f>+RER!I21</f>
        <v>6.5061571687616562</v>
      </c>
      <c r="C20" s="432"/>
    </row>
    <row r="21" spans="1:3">
      <c r="A21" s="236" t="s">
        <v>614</v>
      </c>
      <c r="B21" s="432">
        <f>+RER!I22</f>
        <v>6.4436705412166075</v>
      </c>
      <c r="C21" s="432"/>
    </row>
    <row r="22" spans="1:3">
      <c r="A22" s="236" t="s">
        <v>615</v>
      </c>
      <c r="B22" s="432">
        <f>+RER!I23</f>
        <v>6.1264410621886212</v>
      </c>
      <c r="C22" s="432"/>
    </row>
    <row r="23" spans="1:3">
      <c r="A23" s="236" t="s">
        <v>616</v>
      </c>
      <c r="B23" s="432">
        <f>+RER!I24</f>
        <v>6.0652151218706871</v>
      </c>
      <c r="C23" s="432"/>
    </row>
    <row r="24" spans="1:3">
      <c r="A24" s="236" t="s">
        <v>617</v>
      </c>
      <c r="B24" s="432">
        <f>+RER!I25</f>
        <v>6.2536082841406966</v>
      </c>
      <c r="C24" s="432"/>
    </row>
    <row r="25" spans="1:3">
      <c r="A25" s="236" t="s">
        <v>618</v>
      </c>
      <c r="B25" s="432">
        <f>+RER!I26</f>
        <v>6.6878032468721003</v>
      </c>
      <c r="C25" s="432"/>
    </row>
    <row r="26" spans="1:3">
      <c r="A26" s="236" t="s">
        <v>619</v>
      </c>
      <c r="B26" s="432">
        <f>+RER!I27</f>
        <v>7.1890367368348098</v>
      </c>
      <c r="C26" s="432"/>
    </row>
    <row r="27" spans="1:3">
      <c r="A27" s="236" t="s">
        <v>620</v>
      </c>
      <c r="B27" s="432">
        <f>+RER!I28</f>
        <v>7.0952661008923226</v>
      </c>
      <c r="C27" s="432"/>
    </row>
    <row r="28" spans="1:3">
      <c r="A28" s="236" t="s">
        <v>621</v>
      </c>
      <c r="B28" s="432">
        <f>+RER!I29</f>
        <v>7.4773025413132963</v>
      </c>
      <c r="C28" s="432"/>
    </row>
    <row r="29" spans="1:3">
      <c r="A29" s="236" t="s">
        <v>622</v>
      </c>
      <c r="B29" s="432">
        <f>+RER!I30</f>
        <v>7.3908516481909956</v>
      </c>
      <c r="C29" s="432"/>
    </row>
    <row r="30" spans="1:3">
      <c r="A30" s="236" t="s">
        <v>623</v>
      </c>
      <c r="B30" s="432">
        <f>+RER!I31</f>
        <v>7.1573516852587211</v>
      </c>
      <c r="C30" s="432"/>
    </row>
    <row r="31" spans="1:3">
      <c r="A31" s="236" t="s">
        <v>624</v>
      </c>
      <c r="B31" s="432">
        <f>+RER!I32</f>
        <v>7.1718396143990004</v>
      </c>
      <c r="C31" s="432"/>
    </row>
    <row r="32" spans="1:3">
      <c r="A32" s="236" t="s">
        <v>625</v>
      </c>
      <c r="B32" s="432">
        <f>+RER!I33</f>
        <v>7.1601043436201879</v>
      </c>
      <c r="C32" s="432"/>
    </row>
    <row r="33" spans="1:3">
      <c r="A33" s="236" t="s">
        <v>626</v>
      </c>
      <c r="B33" s="432">
        <f>+RER!I34</f>
        <v>6.8069735657198285</v>
      </c>
      <c r="C33" s="432"/>
    </row>
    <row r="34" spans="1:3">
      <c r="A34" s="236" t="s">
        <v>627</v>
      </c>
      <c r="B34" s="432">
        <f>+RER!I35</f>
        <v>6.8293586331356115</v>
      </c>
      <c r="C34" s="432"/>
    </row>
    <row r="35" spans="1:3">
      <c r="A35" s="236" t="s">
        <v>628</v>
      </c>
      <c r="B35" s="432">
        <f>+RER!I36</f>
        <v>6.776964781240614</v>
      </c>
      <c r="C35" s="432"/>
    </row>
    <row r="36" spans="1:3">
      <c r="A36" s="236" t="s">
        <v>629</v>
      </c>
      <c r="B36" s="432">
        <f>+RER!I37</f>
        <v>6.7488507609424317</v>
      </c>
      <c r="C36" s="432"/>
    </row>
    <row r="37" spans="1:3">
      <c r="A37" s="236" t="s">
        <v>630</v>
      </c>
      <c r="B37" s="432">
        <f>+RER!I38</f>
        <v>6.6438561897747253</v>
      </c>
      <c r="C37" s="432"/>
    </row>
    <row r="38" spans="1:3">
      <c r="A38" s="236" t="s">
        <v>631</v>
      </c>
      <c r="B38" s="432">
        <f>+RER!I39</f>
        <v>6.5679543276279801</v>
      </c>
      <c r="C38" s="432"/>
    </row>
    <row r="39" spans="1:3">
      <c r="A39" s="236" t="s">
        <v>311</v>
      </c>
      <c r="B39" s="432">
        <f>+RER!I40</f>
        <v>6.5823111122068356</v>
      </c>
      <c r="C39" s="432"/>
    </row>
    <row r="40" spans="1:3">
      <c r="A40" s="236" t="s">
        <v>312</v>
      </c>
      <c r="B40" s="432">
        <f>+RER!I41</f>
        <v>6.6789303319458542</v>
      </c>
      <c r="C40" s="432"/>
    </row>
    <row r="41" spans="1:3">
      <c r="A41" s="236" t="s">
        <v>313</v>
      </c>
      <c r="B41" s="432">
        <f>+RER!I42</f>
        <v>6.750952898876605</v>
      </c>
      <c r="C41" s="432"/>
    </row>
    <row r="42" spans="1:3">
      <c r="A42" s="236" t="s">
        <v>314</v>
      </c>
      <c r="B42" s="432">
        <f>+RER!I43</f>
        <v>6.8970401486584612</v>
      </c>
      <c r="C42" s="432"/>
    </row>
    <row r="43" spans="1:3">
      <c r="A43" s="236" t="s">
        <v>315</v>
      </c>
      <c r="B43" s="432">
        <f>+RER!I44</f>
        <v>6.9164357388051503</v>
      </c>
      <c r="C43" s="432"/>
    </row>
    <row r="44" spans="1:3">
      <c r="A44" s="236" t="s">
        <v>316</v>
      </c>
      <c r="B44" s="432">
        <f>+RER!I45</f>
        <v>7.2425248564354492</v>
      </c>
      <c r="C44" s="432"/>
    </row>
    <row r="45" spans="1:3">
      <c r="A45" s="236" t="s">
        <v>317</v>
      </c>
      <c r="B45" s="432">
        <f>+RER!I46</f>
        <v>7.6142281438747412</v>
      </c>
      <c r="C45" s="432"/>
    </row>
    <row r="46" spans="1:3">
      <c r="A46" s="236" t="s">
        <v>318</v>
      </c>
      <c r="B46" s="432">
        <f>+RER!I47</f>
        <v>7.2976492859806132</v>
      </c>
      <c r="C46" s="432"/>
    </row>
    <row r="47" spans="1:3">
      <c r="A47" s="236" t="s">
        <v>632</v>
      </c>
      <c r="B47" s="432">
        <f>+RER!I48</f>
        <v>7.3521822515106585</v>
      </c>
      <c r="C47" s="432"/>
    </row>
    <row r="48" spans="1:3">
      <c r="A48" s="236" t="s">
        <v>633</v>
      </c>
      <c r="B48" s="432">
        <f>+RER!I49</f>
        <v>7.2451287120596408</v>
      </c>
      <c r="C48" s="432"/>
    </row>
    <row r="49" spans="1:3">
      <c r="A49" s="236" t="s">
        <v>634</v>
      </c>
      <c r="B49" s="432">
        <f>+RER!I50</f>
        <v>6.9128986985817482</v>
      </c>
      <c r="C49" s="432"/>
    </row>
    <row r="50" spans="1:3">
      <c r="A50" s="236" t="s">
        <v>635</v>
      </c>
      <c r="B50" s="432">
        <f>+RER!I51</f>
        <v>6.7506121839624287</v>
      </c>
      <c r="C50" s="432"/>
    </row>
    <row r="51" spans="1:3">
      <c r="A51" s="236" t="s">
        <v>636</v>
      </c>
      <c r="B51" s="432">
        <f>+RER!I52</f>
        <v>6.7618119687466809</v>
      </c>
      <c r="C51" s="432"/>
    </row>
    <row r="52" spans="1:3">
      <c r="A52" s="236" t="s">
        <v>637</v>
      </c>
      <c r="B52" s="432">
        <f>+RER!I53</f>
        <v>6.6183604988419606</v>
      </c>
      <c r="C52" s="432"/>
    </row>
    <row r="53" spans="1:3">
      <c r="A53" s="236" t="s">
        <v>638</v>
      </c>
      <c r="B53" s="432">
        <f>+RER!I54</f>
        <v>6.5662036708632536</v>
      </c>
      <c r="C53" s="432"/>
    </row>
    <row r="54" spans="1:3">
      <c r="A54" s="236" t="s">
        <v>639</v>
      </c>
      <c r="B54" s="432">
        <f>+RER!I55</f>
        <v>6.5262289810581668</v>
      </c>
      <c r="C54" s="432"/>
    </row>
    <row r="55" spans="1:3">
      <c r="A55" s="236" t="s">
        <v>640</v>
      </c>
      <c r="B55" s="432">
        <f>+RER!I56</f>
        <v>6.4523668732686232</v>
      </c>
      <c r="C55" s="432"/>
    </row>
    <row r="56" spans="1:3">
      <c r="A56" s="236" t="s">
        <v>641</v>
      </c>
      <c r="B56" s="432">
        <f>+RER!I57</f>
        <v>6.5369435210491291</v>
      </c>
      <c r="C56" s="432"/>
    </row>
    <row r="57" spans="1:3">
      <c r="A57" s="236" t="s">
        <v>642</v>
      </c>
      <c r="B57" s="432">
        <f>+RER!I58</f>
        <v>6.5131702065402823</v>
      </c>
      <c r="C57" s="432"/>
    </row>
    <row r="58" spans="1:3">
      <c r="A58" s="236" t="s">
        <v>643</v>
      </c>
      <c r="B58" s="432">
        <f>+RER!I59</f>
        <v>6.7851758581342638</v>
      </c>
      <c r="C58" s="432"/>
    </row>
    <row r="59" spans="1:3">
      <c r="A59" s="236" t="s">
        <v>644</v>
      </c>
      <c r="B59" s="432">
        <f>+RER!I60</f>
        <v>6.6780658847959522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9"/>
  <sheetViews>
    <sheetView zoomScale="85" zoomScaleNormal="85" zoomScalePageLayoutView="50" workbookViewId="0"/>
  </sheetViews>
  <sheetFormatPr defaultColWidth="11.44140625" defaultRowHeight="14.4"/>
  <cols>
    <col min="1" max="1" width="14.44140625" style="43" bestFit="1" customWidth="1"/>
    <col min="2" max="4" width="11.6640625" style="43" bestFit="1" customWidth="1"/>
    <col min="5" max="5" width="11.6640625" style="43" customWidth="1"/>
    <col min="6" max="7" width="11.6640625" style="43" bestFit="1" customWidth="1"/>
    <col min="8" max="8" width="11.6640625" style="352" customWidth="1"/>
    <col min="9" max="16384" width="11.44140625" style="43"/>
  </cols>
  <sheetData>
    <row r="1" spans="1:10">
      <c r="A1" s="391" t="s">
        <v>562</v>
      </c>
      <c r="B1" s="356"/>
      <c r="C1" s="359"/>
      <c r="D1" s="359"/>
      <c r="E1" s="359"/>
      <c r="F1" s="359"/>
      <c r="G1" s="359"/>
      <c r="H1" s="377"/>
      <c r="I1" s="357"/>
      <c r="J1" s="357"/>
    </row>
    <row r="2" spans="1:10">
      <c r="A2" s="358"/>
      <c r="B2" s="360"/>
      <c r="C2" s="360" t="s">
        <v>517</v>
      </c>
      <c r="D2" s="360" t="s">
        <v>515</v>
      </c>
      <c r="E2" s="360" t="s">
        <v>518</v>
      </c>
      <c r="F2" s="360" t="s">
        <v>517</v>
      </c>
      <c r="G2" s="360" t="s">
        <v>515</v>
      </c>
      <c r="H2" s="389" t="s">
        <v>518</v>
      </c>
      <c r="I2" s="357"/>
      <c r="J2" s="357"/>
    </row>
    <row r="3" spans="1:10" ht="15" thickBot="1">
      <c r="A3" s="358"/>
      <c r="B3" s="361" t="s">
        <v>374</v>
      </c>
      <c r="C3" s="361" t="s">
        <v>520</v>
      </c>
      <c r="D3" s="361" t="s">
        <v>520</v>
      </c>
      <c r="E3" s="361"/>
      <c r="F3" s="361" t="s">
        <v>521</v>
      </c>
      <c r="G3" s="361" t="s">
        <v>521</v>
      </c>
      <c r="H3" s="378"/>
      <c r="I3" s="357"/>
      <c r="J3" s="362"/>
    </row>
    <row r="4" spans="1:10" ht="15" thickTop="1">
      <c r="A4" s="358"/>
      <c r="B4" s="363">
        <v>21916</v>
      </c>
      <c r="C4" s="364">
        <v>0.372488570120313</v>
      </c>
      <c r="D4" s="364"/>
      <c r="E4" s="365"/>
      <c r="F4" s="364"/>
      <c r="G4" s="390"/>
      <c r="H4" s="379"/>
      <c r="I4" s="357"/>
      <c r="J4" s="357"/>
    </row>
    <row r="5" spans="1:10">
      <c r="A5" s="358"/>
      <c r="B5" s="363">
        <v>21947</v>
      </c>
      <c r="C5" s="364">
        <v>0.37449886706908198</v>
      </c>
      <c r="D5" s="365">
        <f t="shared" ref="D5:D68" si="0">+((C5/C4)-1)*100</f>
        <v>0.53969359331473843</v>
      </c>
      <c r="E5" s="365"/>
      <c r="F5" s="364"/>
      <c r="G5" s="390"/>
      <c r="H5" s="379"/>
      <c r="I5" s="357"/>
      <c r="J5" s="357"/>
    </row>
    <row r="6" spans="1:10">
      <c r="A6" s="358"/>
      <c r="B6" s="363">
        <v>21976</v>
      </c>
      <c r="C6" s="364">
        <v>0.38289672045184298</v>
      </c>
      <c r="D6" s="365">
        <f t="shared" si="0"/>
        <v>2.2424242424241791</v>
      </c>
      <c r="E6" s="365"/>
      <c r="F6" s="364"/>
      <c r="G6" s="390"/>
      <c r="H6" s="379"/>
      <c r="I6" s="357"/>
      <c r="J6" s="357"/>
    </row>
    <row r="7" spans="1:10">
      <c r="A7" s="358"/>
      <c r="B7" s="363">
        <v>22007</v>
      </c>
      <c r="C7" s="364">
        <v>0.38292914459617799</v>
      </c>
      <c r="D7" s="365">
        <f t="shared" si="0"/>
        <v>8.4681175374745621E-3</v>
      </c>
      <c r="E7" s="365"/>
      <c r="F7" s="364"/>
      <c r="G7" s="390"/>
      <c r="H7" s="379"/>
      <c r="I7" s="357"/>
      <c r="J7" s="357"/>
    </row>
    <row r="8" spans="1:10">
      <c r="A8" s="358"/>
      <c r="B8" s="363">
        <v>22037</v>
      </c>
      <c r="C8" s="364">
        <v>0.38866821814347102</v>
      </c>
      <c r="D8" s="365">
        <f t="shared" si="0"/>
        <v>1.4987298899239443</v>
      </c>
      <c r="E8" s="365"/>
      <c r="F8" s="364"/>
      <c r="G8" s="390"/>
      <c r="H8" s="379"/>
      <c r="I8" s="357"/>
      <c r="J8" s="357"/>
    </row>
    <row r="9" spans="1:10">
      <c r="A9" s="358"/>
      <c r="B9" s="363">
        <v>22068</v>
      </c>
      <c r="C9" s="364">
        <v>0.39093790824691999</v>
      </c>
      <c r="D9" s="365">
        <f t="shared" si="0"/>
        <v>0.58396596312670912</v>
      </c>
      <c r="E9" s="365"/>
      <c r="F9" s="364"/>
      <c r="G9" s="390"/>
      <c r="H9" s="379"/>
      <c r="I9" s="357"/>
      <c r="J9" s="357"/>
    </row>
    <row r="10" spans="1:10">
      <c r="A10" s="358"/>
      <c r="B10" s="363">
        <v>22098</v>
      </c>
      <c r="C10" s="364">
        <v>0.39596365061884198</v>
      </c>
      <c r="D10" s="365">
        <f t="shared" si="0"/>
        <v>1.2855602554530776</v>
      </c>
      <c r="E10" s="365"/>
      <c r="F10" s="364"/>
      <c r="G10" s="390"/>
      <c r="H10" s="379"/>
      <c r="I10" s="357"/>
      <c r="J10" s="357"/>
    </row>
    <row r="11" spans="1:10">
      <c r="A11" s="358"/>
      <c r="B11" s="363">
        <v>22129</v>
      </c>
      <c r="C11" s="364">
        <v>0.39884939946465597</v>
      </c>
      <c r="D11" s="365">
        <f t="shared" si="0"/>
        <v>0.72879135276784357</v>
      </c>
      <c r="E11" s="365"/>
      <c r="F11" s="364"/>
      <c r="G11" s="390"/>
      <c r="H11" s="379"/>
      <c r="I11" s="357"/>
      <c r="J11" s="357"/>
    </row>
    <row r="12" spans="1:10">
      <c r="A12" s="358"/>
      <c r="B12" s="363">
        <v>22160</v>
      </c>
      <c r="C12" s="364">
        <v>0.40945209466219601</v>
      </c>
      <c r="D12" s="365">
        <f t="shared" si="0"/>
        <v>2.6583204617510292</v>
      </c>
      <c r="E12" s="365"/>
      <c r="F12" s="364"/>
      <c r="G12" s="390"/>
      <c r="H12" s="379"/>
      <c r="I12" s="357"/>
      <c r="J12" s="357"/>
    </row>
    <row r="13" spans="1:10">
      <c r="A13" s="358"/>
      <c r="B13" s="363">
        <v>22190</v>
      </c>
      <c r="C13" s="364">
        <v>0.41071663629126098</v>
      </c>
      <c r="D13" s="365">
        <f t="shared" si="0"/>
        <v>0.30883750395958032</v>
      </c>
      <c r="E13" s="365"/>
      <c r="F13" s="364"/>
      <c r="G13" s="390"/>
      <c r="H13" s="379"/>
      <c r="I13" s="357"/>
      <c r="J13" s="357"/>
    </row>
    <row r="14" spans="1:10">
      <c r="A14" s="358"/>
      <c r="B14" s="363">
        <v>22221</v>
      </c>
      <c r="C14" s="364">
        <v>0.41775267561195301</v>
      </c>
      <c r="D14" s="365">
        <f t="shared" si="0"/>
        <v>1.7131128128207607</v>
      </c>
      <c r="E14" s="365"/>
      <c r="F14" s="364"/>
      <c r="G14" s="390"/>
      <c r="H14" s="379"/>
      <c r="I14" s="357"/>
      <c r="J14" s="357"/>
    </row>
    <row r="15" spans="1:10">
      <c r="A15" s="358"/>
      <c r="B15" s="363">
        <v>22251</v>
      </c>
      <c r="C15" s="364">
        <v>0.42131933148880102</v>
      </c>
      <c r="D15" s="365">
        <f t="shared" si="0"/>
        <v>0.853772120459384</v>
      </c>
      <c r="E15" s="362"/>
      <c r="F15" s="364"/>
      <c r="G15" s="390"/>
      <c r="H15" s="380"/>
      <c r="I15" s="357"/>
      <c r="J15" s="357"/>
    </row>
    <row r="16" spans="1:10">
      <c r="B16" s="363">
        <v>22282</v>
      </c>
      <c r="C16" s="364">
        <v>0.44994985093659301</v>
      </c>
      <c r="D16" s="365">
        <f t="shared" si="0"/>
        <v>6.7954440511004632</v>
      </c>
      <c r="E16" s="362">
        <f>+(C16/C4)-1</f>
        <v>0.20795612813370412</v>
      </c>
      <c r="F16" s="364"/>
      <c r="G16" s="390"/>
      <c r="H16" s="380"/>
    </row>
    <row r="17" spans="2:8">
      <c r="B17" s="363">
        <v>22313</v>
      </c>
      <c r="C17" s="364">
        <v>0.450306516524278</v>
      </c>
      <c r="D17" s="365">
        <f t="shared" si="0"/>
        <v>7.9267853282449785E-2</v>
      </c>
      <c r="E17" s="362">
        <f t="shared" ref="E17:E80" si="1">+(C17/C5)-1</f>
        <v>0.20242424242424262</v>
      </c>
      <c r="F17" s="364"/>
      <c r="G17" s="390"/>
      <c r="H17" s="380"/>
    </row>
    <row r="18" spans="2:8">
      <c r="B18" s="363">
        <v>22341</v>
      </c>
      <c r="C18" s="364">
        <v>0.45007954751393298</v>
      </c>
      <c r="D18" s="365">
        <f t="shared" si="0"/>
        <v>-5.0403225806483487E-2</v>
      </c>
      <c r="E18" s="362">
        <f t="shared" si="1"/>
        <v>0.17545939537640831</v>
      </c>
      <c r="F18" s="364"/>
      <c r="G18" s="390"/>
      <c r="H18" s="380"/>
    </row>
    <row r="19" spans="2:8">
      <c r="B19" s="363">
        <v>22372</v>
      </c>
      <c r="C19" s="364">
        <v>0.45400286897846598</v>
      </c>
      <c r="D19" s="365">
        <f t="shared" si="0"/>
        <v>0.87169512282971873</v>
      </c>
      <c r="E19" s="362">
        <f t="shared" si="1"/>
        <v>0.185605419136325</v>
      </c>
      <c r="F19" s="364"/>
      <c r="G19" s="390"/>
      <c r="H19" s="380"/>
    </row>
    <row r="20" spans="2:8">
      <c r="B20" s="363">
        <v>22402</v>
      </c>
      <c r="C20" s="364">
        <v>0.45624013493757998</v>
      </c>
      <c r="D20" s="365">
        <f t="shared" si="0"/>
        <v>0.49278674475075057</v>
      </c>
      <c r="E20" s="362">
        <f t="shared" si="1"/>
        <v>0.17385500959372457</v>
      </c>
      <c r="F20" s="364"/>
      <c r="G20" s="390"/>
      <c r="H20" s="380"/>
    </row>
    <row r="21" spans="2:8">
      <c r="B21" s="363">
        <v>22433</v>
      </c>
      <c r="C21" s="364">
        <v>0.459644670092754</v>
      </c>
      <c r="D21" s="365">
        <f t="shared" si="0"/>
        <v>0.74621562078045489</v>
      </c>
      <c r="E21" s="362">
        <f t="shared" si="1"/>
        <v>0.17574852782615857</v>
      </c>
      <c r="F21" s="364"/>
      <c r="G21" s="390"/>
      <c r="H21" s="380"/>
    </row>
    <row r="22" spans="2:8">
      <c r="B22" s="363">
        <v>22463</v>
      </c>
      <c r="C22" s="364">
        <v>0.46249799479423298</v>
      </c>
      <c r="D22" s="365">
        <f t="shared" si="0"/>
        <v>0.62076749435671097</v>
      </c>
      <c r="E22" s="362">
        <f t="shared" si="1"/>
        <v>0.16803144448084084</v>
      </c>
      <c r="F22" s="364"/>
      <c r="G22" s="390"/>
      <c r="H22" s="380"/>
    </row>
    <row r="23" spans="2:8">
      <c r="B23" s="363">
        <v>22494</v>
      </c>
      <c r="C23" s="364">
        <v>0.46590252994940601</v>
      </c>
      <c r="D23" s="365">
        <f t="shared" si="0"/>
        <v>0.73611890072902142</v>
      </c>
      <c r="E23" s="362">
        <f t="shared" si="1"/>
        <v>0.16811641329973215</v>
      </c>
      <c r="F23" s="364"/>
      <c r="G23" s="390"/>
      <c r="H23" s="380"/>
    </row>
    <row r="24" spans="2:8">
      <c r="B24" s="363">
        <v>22525</v>
      </c>
      <c r="C24" s="364">
        <v>0.46603222652674597</v>
      </c>
      <c r="D24" s="365">
        <f t="shared" si="0"/>
        <v>2.7837706173006183E-2</v>
      </c>
      <c r="E24" s="362">
        <f t="shared" si="1"/>
        <v>0.13818498574596227</v>
      </c>
      <c r="F24" s="364"/>
      <c r="G24" s="390"/>
      <c r="H24" s="380"/>
    </row>
    <row r="25" spans="2:8">
      <c r="B25" s="363">
        <v>22555</v>
      </c>
      <c r="C25" s="364">
        <v>0.46820464419718999</v>
      </c>
      <c r="D25" s="365">
        <f t="shared" si="0"/>
        <v>0.4661518124260855</v>
      </c>
      <c r="E25" s="362">
        <f t="shared" si="1"/>
        <v>0.13997000078945243</v>
      </c>
      <c r="F25" s="364"/>
      <c r="G25" s="390"/>
      <c r="H25" s="380"/>
    </row>
    <row r="26" spans="2:8">
      <c r="B26" s="363">
        <v>22586</v>
      </c>
      <c r="C26" s="364">
        <v>0.47524068351788201</v>
      </c>
      <c r="D26" s="365">
        <f t="shared" si="0"/>
        <v>1.5027700831025337</v>
      </c>
      <c r="E26" s="362">
        <f t="shared" si="1"/>
        <v>0.13761254268860545</v>
      </c>
      <c r="F26" s="364"/>
      <c r="G26" s="390"/>
      <c r="H26" s="380"/>
    </row>
    <row r="27" spans="2:8">
      <c r="B27" s="363">
        <v>22616</v>
      </c>
      <c r="C27" s="364">
        <v>0.47760764605433598</v>
      </c>
      <c r="D27" s="365">
        <f t="shared" si="0"/>
        <v>0.49805553660366986</v>
      </c>
      <c r="E27" s="362">
        <f t="shared" si="1"/>
        <v>0.13360012313375447</v>
      </c>
      <c r="F27" s="364"/>
      <c r="G27" s="390"/>
      <c r="H27" s="380"/>
    </row>
    <row r="28" spans="2:8">
      <c r="B28" s="363">
        <v>22647</v>
      </c>
      <c r="C28" s="364">
        <v>0.47890461182773503</v>
      </c>
      <c r="D28" s="365">
        <f t="shared" si="0"/>
        <v>0.27155465037331794</v>
      </c>
      <c r="E28" s="362">
        <f t="shared" si="1"/>
        <v>6.4351084528356362E-2</v>
      </c>
      <c r="F28" s="364"/>
      <c r="G28" s="390"/>
      <c r="H28" s="380"/>
    </row>
    <row r="29" spans="2:8">
      <c r="B29" s="363">
        <v>22678</v>
      </c>
      <c r="C29" s="364">
        <v>0.47890461182773503</v>
      </c>
      <c r="D29" s="365">
        <f t="shared" si="0"/>
        <v>0</v>
      </c>
      <c r="E29" s="362">
        <f t="shared" si="1"/>
        <v>6.3508064516128782E-2</v>
      </c>
      <c r="F29" s="364"/>
      <c r="G29" s="390"/>
      <c r="H29" s="380"/>
    </row>
    <row r="30" spans="2:8">
      <c r="B30" s="363">
        <v>22706</v>
      </c>
      <c r="C30" s="364">
        <v>0.473814021167143</v>
      </c>
      <c r="D30" s="365">
        <f t="shared" si="0"/>
        <v>-1.0629654705482716</v>
      </c>
      <c r="E30" s="362">
        <f t="shared" si="1"/>
        <v>5.2733952885240409E-2</v>
      </c>
      <c r="F30" s="364"/>
      <c r="G30" s="390"/>
      <c r="H30" s="380"/>
    </row>
    <row r="31" spans="2:8">
      <c r="B31" s="363">
        <v>22737</v>
      </c>
      <c r="C31" s="364">
        <v>0.47751037362133097</v>
      </c>
      <c r="D31" s="365">
        <f t="shared" si="0"/>
        <v>0.7801272839252027</v>
      </c>
      <c r="E31" s="362">
        <f t="shared" si="1"/>
        <v>5.1778317383232242E-2</v>
      </c>
      <c r="F31" s="364"/>
      <c r="G31" s="390"/>
      <c r="H31" s="380"/>
    </row>
    <row r="32" spans="2:8">
      <c r="B32" s="363">
        <v>22767</v>
      </c>
      <c r="C32" s="364">
        <v>0.47588916640458201</v>
      </c>
      <c r="D32" s="365">
        <f t="shared" si="0"/>
        <v>-0.33951246010721636</v>
      </c>
      <c r="E32" s="362">
        <f t="shared" si="1"/>
        <v>4.3067301542180747E-2</v>
      </c>
      <c r="F32" s="364"/>
      <c r="G32" s="390"/>
      <c r="H32" s="380"/>
    </row>
    <row r="33" spans="2:8">
      <c r="B33" s="363">
        <v>22798</v>
      </c>
      <c r="C33" s="364">
        <v>0.47877491525039501</v>
      </c>
      <c r="D33" s="365">
        <f t="shared" si="0"/>
        <v>0.60639095182923874</v>
      </c>
      <c r="E33" s="362">
        <f t="shared" si="1"/>
        <v>4.1619638826184246E-2</v>
      </c>
      <c r="F33" s="364"/>
      <c r="G33" s="390"/>
      <c r="H33" s="380"/>
    </row>
    <row r="34" spans="2:8">
      <c r="B34" s="363">
        <v>22828</v>
      </c>
      <c r="C34" s="364">
        <v>0.47235493467206802</v>
      </c>
      <c r="D34" s="365">
        <f t="shared" si="0"/>
        <v>-1.3409183258837554</v>
      </c>
      <c r="E34" s="362">
        <f t="shared" si="1"/>
        <v>2.1312394840155902E-2</v>
      </c>
      <c r="F34" s="364"/>
      <c r="G34" s="390"/>
      <c r="H34" s="380"/>
    </row>
    <row r="35" spans="2:8">
      <c r="B35" s="363">
        <v>22859</v>
      </c>
      <c r="C35" s="364">
        <v>0.47378159702280798</v>
      </c>
      <c r="D35" s="365">
        <f t="shared" si="0"/>
        <v>0.3020318506316455</v>
      </c>
      <c r="E35" s="362">
        <f t="shared" si="1"/>
        <v>1.6911406500105475E-2</v>
      </c>
      <c r="F35" s="364"/>
      <c r="G35" s="390"/>
      <c r="H35" s="380"/>
    </row>
    <row r="36" spans="2:8">
      <c r="B36" s="363">
        <v>22890</v>
      </c>
      <c r="C36" s="364">
        <v>0.47520825937354699</v>
      </c>
      <c r="D36" s="365">
        <f t="shared" si="0"/>
        <v>0.30112236517922941</v>
      </c>
      <c r="E36" s="362">
        <f t="shared" si="1"/>
        <v>1.968969595769865E-2</v>
      </c>
      <c r="F36" s="364"/>
      <c r="G36" s="390"/>
      <c r="H36" s="380"/>
    </row>
    <row r="37" spans="2:8">
      <c r="B37" s="363">
        <v>22920</v>
      </c>
      <c r="C37" s="364">
        <v>0.47663492172428601</v>
      </c>
      <c r="D37" s="365">
        <f t="shared" si="0"/>
        <v>0.30021834061129127</v>
      </c>
      <c r="E37" s="362">
        <f t="shared" si="1"/>
        <v>1.8005540166204481E-2</v>
      </c>
      <c r="F37" s="364"/>
      <c r="G37" s="390"/>
      <c r="H37" s="380"/>
    </row>
    <row r="38" spans="2:8">
      <c r="B38" s="363">
        <v>22951</v>
      </c>
      <c r="C38" s="364">
        <v>0.47806158407502602</v>
      </c>
      <c r="D38" s="365">
        <f t="shared" si="0"/>
        <v>0.29931972789130068</v>
      </c>
      <c r="E38" s="362">
        <f t="shared" si="1"/>
        <v>5.9357303677429751E-3</v>
      </c>
      <c r="F38" s="364"/>
      <c r="G38" s="390"/>
      <c r="H38" s="380"/>
    </row>
    <row r="39" spans="2:8">
      <c r="B39" s="363">
        <v>22981</v>
      </c>
      <c r="C39" s="364">
        <v>0.47948824642576499</v>
      </c>
      <c r="D39" s="365">
        <f t="shared" si="0"/>
        <v>0.29842647856745952</v>
      </c>
      <c r="E39" s="362">
        <f t="shared" si="1"/>
        <v>3.9375424304137763E-3</v>
      </c>
      <c r="F39" s="364"/>
      <c r="G39" s="390"/>
      <c r="H39" s="380"/>
    </row>
    <row r="40" spans="2:8">
      <c r="B40" s="363">
        <v>23012</v>
      </c>
      <c r="C40" s="364">
        <v>0.481012181209509</v>
      </c>
      <c r="D40" s="365">
        <f t="shared" si="0"/>
        <v>0.31782526372727826</v>
      </c>
      <c r="E40" s="362">
        <f t="shared" si="1"/>
        <v>4.4008124576844221E-3</v>
      </c>
      <c r="F40" s="364"/>
      <c r="G40" s="390"/>
      <c r="H40" s="380"/>
    </row>
    <row r="41" spans="2:8">
      <c r="B41" s="363">
        <v>23043</v>
      </c>
      <c r="C41" s="364">
        <v>0.48253611599325402</v>
      </c>
      <c r="D41" s="365">
        <f t="shared" si="0"/>
        <v>0.31681833501868706</v>
      </c>
      <c r="E41" s="362">
        <f t="shared" si="1"/>
        <v>7.582938388627003E-3</v>
      </c>
      <c r="F41" s="364"/>
      <c r="G41" s="390"/>
      <c r="H41" s="380"/>
    </row>
    <row r="42" spans="2:8">
      <c r="B42" s="363">
        <v>23071</v>
      </c>
      <c r="C42" s="364">
        <v>0.48406005077699799</v>
      </c>
      <c r="D42" s="365">
        <f t="shared" si="0"/>
        <v>0.3158177664291717</v>
      </c>
      <c r="E42" s="362">
        <f t="shared" si="1"/>
        <v>2.1624580852664499E-2</v>
      </c>
      <c r="F42" s="364"/>
      <c r="G42" s="390"/>
      <c r="H42" s="380"/>
    </row>
    <row r="43" spans="2:8">
      <c r="B43" s="363">
        <v>23102</v>
      </c>
      <c r="C43" s="364">
        <v>0.485583985560742</v>
      </c>
      <c r="D43" s="365">
        <f t="shared" si="0"/>
        <v>0.31482349788996</v>
      </c>
      <c r="E43" s="362">
        <f t="shared" si="1"/>
        <v>1.6907720513342106E-2</v>
      </c>
      <c r="F43" s="364"/>
      <c r="G43" s="390"/>
      <c r="H43" s="380"/>
    </row>
    <row r="44" spans="2:8">
      <c r="B44" s="363">
        <v>23132</v>
      </c>
      <c r="C44" s="364">
        <v>0.48710792034448702</v>
      </c>
      <c r="D44" s="365">
        <f t="shared" si="0"/>
        <v>0.31383547008561052</v>
      </c>
      <c r="E44" s="362">
        <f t="shared" si="1"/>
        <v>2.3574299925052777E-2</v>
      </c>
      <c r="F44" s="364"/>
      <c r="G44" s="390"/>
      <c r="H44" s="380"/>
    </row>
    <row r="45" spans="2:8">
      <c r="B45" s="363">
        <v>23163</v>
      </c>
      <c r="C45" s="364">
        <v>0.48863185512823099</v>
      </c>
      <c r="D45" s="365">
        <f t="shared" si="0"/>
        <v>0.31285362444244402</v>
      </c>
      <c r="E45" s="362">
        <f t="shared" si="1"/>
        <v>2.0587836922661085E-2</v>
      </c>
      <c r="F45" s="364"/>
      <c r="G45" s="390"/>
      <c r="H45" s="380"/>
    </row>
    <row r="46" spans="2:8">
      <c r="B46" s="363">
        <v>23193</v>
      </c>
      <c r="C46" s="364">
        <v>0.490155789911975</v>
      </c>
      <c r="D46" s="365">
        <f t="shared" si="0"/>
        <v>0.31187790311872909</v>
      </c>
      <c r="E46" s="362">
        <f t="shared" si="1"/>
        <v>3.7685337726523827E-2</v>
      </c>
      <c r="F46" s="364"/>
      <c r="G46" s="390"/>
      <c r="H46" s="380"/>
    </row>
    <row r="47" spans="2:8">
      <c r="B47" s="363">
        <v>23224</v>
      </c>
      <c r="C47" s="364">
        <v>0.49171214884005499</v>
      </c>
      <c r="D47" s="365">
        <f t="shared" si="0"/>
        <v>0.31752331811880641</v>
      </c>
      <c r="E47" s="362">
        <f t="shared" si="1"/>
        <v>3.7845606350944472E-2</v>
      </c>
      <c r="F47" s="364"/>
      <c r="G47" s="390"/>
      <c r="H47" s="380"/>
    </row>
    <row r="48" spans="2:8">
      <c r="B48" s="363">
        <v>23255</v>
      </c>
      <c r="C48" s="364">
        <v>0.49326850776813402</v>
      </c>
      <c r="D48" s="365">
        <f t="shared" si="0"/>
        <v>0.31651829871408577</v>
      </c>
      <c r="E48" s="362">
        <f t="shared" si="1"/>
        <v>3.800491266375583E-2</v>
      </c>
      <c r="F48" s="364"/>
      <c r="G48" s="390"/>
      <c r="H48" s="380"/>
    </row>
    <row r="49" spans="2:8">
      <c r="B49" s="363">
        <v>23285</v>
      </c>
      <c r="C49" s="364">
        <v>0.49482486669621301</v>
      </c>
      <c r="D49" s="365">
        <f t="shared" si="0"/>
        <v>0.31551962137639222</v>
      </c>
      <c r="E49" s="362">
        <f t="shared" si="1"/>
        <v>3.8163265306122796E-2</v>
      </c>
      <c r="F49" s="364"/>
      <c r="G49" s="390"/>
      <c r="H49" s="380"/>
    </row>
    <row r="50" spans="2:8">
      <c r="B50" s="363">
        <v>23316</v>
      </c>
      <c r="C50" s="364">
        <v>0.496219104902618</v>
      </c>
      <c r="D50" s="365">
        <f t="shared" si="0"/>
        <v>0.28176397352741578</v>
      </c>
      <c r="E50" s="362">
        <f t="shared" si="1"/>
        <v>3.7981551817688697E-2</v>
      </c>
      <c r="F50" s="364"/>
      <c r="G50" s="390"/>
      <c r="H50" s="380"/>
    </row>
    <row r="51" spans="2:8">
      <c r="B51" s="363">
        <v>23346</v>
      </c>
      <c r="C51" s="364">
        <v>0.497613343109022</v>
      </c>
      <c r="D51" s="365">
        <f t="shared" si="0"/>
        <v>0.28097229482479946</v>
      </c>
      <c r="E51" s="362">
        <f t="shared" si="1"/>
        <v>3.7800919664593202E-2</v>
      </c>
      <c r="F51" s="364"/>
      <c r="G51" s="390"/>
      <c r="H51" s="380"/>
    </row>
    <row r="52" spans="2:8">
      <c r="B52" s="363">
        <v>23377</v>
      </c>
      <c r="C52" s="364">
        <v>0.49892843040041601</v>
      </c>
      <c r="D52" s="365">
        <f t="shared" si="0"/>
        <v>0.26427894460738788</v>
      </c>
      <c r="E52" s="362">
        <f t="shared" si="1"/>
        <v>3.7246976045089975E-2</v>
      </c>
      <c r="F52" s="364">
        <v>0.54589158587274056</v>
      </c>
      <c r="G52" s="390"/>
      <c r="H52" s="380"/>
    </row>
    <row r="53" spans="2:8">
      <c r="B53" s="363">
        <v>23408</v>
      </c>
      <c r="C53" s="364">
        <v>0.50864117648924301</v>
      </c>
      <c r="D53" s="365">
        <f t="shared" si="0"/>
        <v>1.9467213125201166</v>
      </c>
      <c r="E53" s="362">
        <f t="shared" si="1"/>
        <v>5.4099702863181998E-2</v>
      </c>
      <c r="F53" s="364">
        <v>0.55651857371247626</v>
      </c>
      <c r="G53" s="365">
        <f t="shared" ref="G53:G116" si="2">+((F53/F52)-1)*100</f>
        <v>1.9467213114753967</v>
      </c>
      <c r="H53" s="380"/>
    </row>
    <row r="54" spans="2:8">
      <c r="B54" s="363">
        <v>23437</v>
      </c>
      <c r="C54" s="364">
        <v>0.50506279634802498</v>
      </c>
      <c r="D54" s="365">
        <f t="shared" si="0"/>
        <v>-0.7035175889448908</v>
      </c>
      <c r="E54" s="362">
        <f t="shared" si="1"/>
        <v>4.3388719100686091E-2</v>
      </c>
      <c r="F54" s="364">
        <v>0.55260336766625784</v>
      </c>
      <c r="G54" s="365">
        <f t="shared" si="2"/>
        <v>-0.70351758793969488</v>
      </c>
      <c r="H54" s="380"/>
    </row>
    <row r="55" spans="2:8">
      <c r="B55" s="363">
        <v>23468</v>
      </c>
      <c r="C55" s="364">
        <v>0.50199561337933296</v>
      </c>
      <c r="D55" s="365">
        <f t="shared" si="0"/>
        <v>-0.60728744838661752</v>
      </c>
      <c r="E55" s="362">
        <f t="shared" si="1"/>
        <v>3.379771225288497E-2</v>
      </c>
      <c r="F55" s="364">
        <v>0.54924747676949925</v>
      </c>
      <c r="G55" s="365">
        <f t="shared" si="2"/>
        <v>-0.60728744939270163</v>
      </c>
      <c r="H55" s="380"/>
    </row>
    <row r="56" spans="2:8">
      <c r="B56" s="363">
        <v>23498</v>
      </c>
      <c r="C56" s="364">
        <v>0.506596387834928</v>
      </c>
      <c r="D56" s="365">
        <f t="shared" si="0"/>
        <v>0.91649694399191795</v>
      </c>
      <c r="E56" s="362">
        <f t="shared" si="1"/>
        <v>4.0008521061736246E-2</v>
      </c>
      <c r="F56" s="364">
        <v>0.55428131311463713</v>
      </c>
      <c r="G56" s="365">
        <f t="shared" si="2"/>
        <v>0.91649694501017009</v>
      </c>
      <c r="H56" s="380"/>
    </row>
    <row r="57" spans="2:8">
      <c r="B57" s="363">
        <v>23529</v>
      </c>
      <c r="C57" s="364">
        <v>0.50966357081384395</v>
      </c>
      <c r="D57" s="365">
        <f t="shared" si="0"/>
        <v>0.60544904238744035</v>
      </c>
      <c r="E57" s="362">
        <f t="shared" si="1"/>
        <v>4.3042047842119624E-2</v>
      </c>
      <c r="F57" s="364">
        <v>0.55763720401139583</v>
      </c>
      <c r="G57" s="365">
        <f t="shared" si="2"/>
        <v>0.60544904137236344</v>
      </c>
      <c r="H57" s="380"/>
    </row>
    <row r="58" spans="2:8">
      <c r="B58" s="363">
        <v>23559</v>
      </c>
      <c r="C58" s="364">
        <v>0.50557399351543797</v>
      </c>
      <c r="D58" s="365">
        <f t="shared" si="0"/>
        <v>-0.80240722166499134</v>
      </c>
      <c r="E58" s="362">
        <f t="shared" si="1"/>
        <v>3.1455720652064256E-2</v>
      </c>
      <c r="F58" s="364">
        <v>0.55316268281571768</v>
      </c>
      <c r="G58" s="365">
        <f t="shared" si="2"/>
        <v>-0.80240722166498024</v>
      </c>
      <c r="H58" s="380"/>
    </row>
    <row r="59" spans="2:8">
      <c r="B59" s="363">
        <v>23590</v>
      </c>
      <c r="C59" s="364">
        <v>0.51477554243685197</v>
      </c>
      <c r="D59" s="365">
        <f t="shared" si="0"/>
        <v>1.8200202224470274</v>
      </c>
      <c r="E59" s="362">
        <f t="shared" si="1"/>
        <v>4.6904258215306083E-2</v>
      </c>
      <c r="F59" s="364">
        <v>0.56323035550599365</v>
      </c>
      <c r="G59" s="365">
        <f t="shared" si="2"/>
        <v>1.8200202224469164</v>
      </c>
      <c r="H59" s="380"/>
    </row>
    <row r="60" spans="2:8">
      <c r="B60" s="363">
        <v>23621</v>
      </c>
      <c r="C60" s="364">
        <v>0.51937631689244601</v>
      </c>
      <c r="D60" s="365">
        <f t="shared" si="0"/>
        <v>0.89374379245268365</v>
      </c>
      <c r="E60" s="362">
        <f t="shared" si="1"/>
        <v>5.2928189643487666E-2</v>
      </c>
      <c r="F60" s="364">
        <v>0.56826419185113142</v>
      </c>
      <c r="G60" s="365">
        <f t="shared" si="2"/>
        <v>0.89374379344584476</v>
      </c>
      <c r="H60" s="380"/>
    </row>
    <row r="61" spans="2:8">
      <c r="B61" s="363">
        <v>23651</v>
      </c>
      <c r="C61" s="364">
        <v>0.51937631689244601</v>
      </c>
      <c r="D61" s="365">
        <f t="shared" si="0"/>
        <v>0</v>
      </c>
      <c r="E61" s="362">
        <f t="shared" si="1"/>
        <v>4.9616443814061162E-2</v>
      </c>
      <c r="F61" s="364">
        <v>0.56826419185113142</v>
      </c>
      <c r="G61" s="365">
        <f t="shared" si="2"/>
        <v>0</v>
      </c>
      <c r="H61" s="380"/>
    </row>
    <row r="62" spans="2:8">
      <c r="B62" s="363">
        <v>23682</v>
      </c>
      <c r="C62" s="364">
        <v>0.52142110554676102</v>
      </c>
      <c r="D62" s="365">
        <f t="shared" si="0"/>
        <v>0.393700788389717</v>
      </c>
      <c r="E62" s="362">
        <f t="shared" si="1"/>
        <v>5.0788049865772233E-2</v>
      </c>
      <c r="F62" s="364">
        <v>0.57050145244897066</v>
      </c>
      <c r="G62" s="365">
        <f t="shared" si="2"/>
        <v>0.39370078740159631</v>
      </c>
      <c r="H62" s="380"/>
    </row>
    <row r="63" spans="2:8">
      <c r="B63" s="363">
        <v>23712</v>
      </c>
      <c r="C63" s="364">
        <v>0.52142110554676102</v>
      </c>
      <c r="D63" s="365">
        <f t="shared" si="0"/>
        <v>0</v>
      </c>
      <c r="E63" s="362">
        <f t="shared" si="1"/>
        <v>4.7843898817084174E-2</v>
      </c>
      <c r="F63" s="364">
        <v>0.57050145244897066</v>
      </c>
      <c r="G63" s="365">
        <f t="shared" si="2"/>
        <v>0</v>
      </c>
      <c r="H63" s="380"/>
    </row>
    <row r="64" spans="2:8">
      <c r="B64" s="363">
        <v>23743</v>
      </c>
      <c r="C64" s="364">
        <v>0.519887514059859</v>
      </c>
      <c r="D64" s="365">
        <f t="shared" si="0"/>
        <v>-0.29411764705877808</v>
      </c>
      <c r="E64" s="362">
        <f t="shared" si="1"/>
        <v>4.2008196731988745E-2</v>
      </c>
      <c r="F64" s="364">
        <v>0.56882350700059137</v>
      </c>
      <c r="G64" s="365">
        <f t="shared" si="2"/>
        <v>-0.29411764705882248</v>
      </c>
      <c r="H64" s="380">
        <f t="shared" ref="H64:H80" si="3">+(F64/F52)-1</f>
        <v>4.2008196721311508E-2</v>
      </c>
    </row>
    <row r="65" spans="2:8">
      <c r="B65" s="363">
        <v>23774</v>
      </c>
      <c r="C65" s="364">
        <v>0.52499948568286703</v>
      </c>
      <c r="D65" s="365">
        <f t="shared" si="0"/>
        <v>0.98328416912498717</v>
      </c>
      <c r="E65" s="362">
        <f t="shared" si="1"/>
        <v>3.2160804020100686E-2</v>
      </c>
      <c r="F65" s="364">
        <v>0.57441665849518919</v>
      </c>
      <c r="G65" s="365">
        <f t="shared" si="2"/>
        <v>0.98328416912489836</v>
      </c>
      <c r="H65" s="380">
        <f t="shared" si="3"/>
        <v>3.2160804020100686E-2</v>
      </c>
    </row>
    <row r="66" spans="2:8">
      <c r="B66" s="363">
        <v>23802</v>
      </c>
      <c r="C66" s="364">
        <v>0.52806666865155905</v>
      </c>
      <c r="D66" s="365">
        <f t="shared" si="0"/>
        <v>0.58422589970779093</v>
      </c>
      <c r="E66" s="362">
        <f t="shared" si="1"/>
        <v>4.554655870491553E-2</v>
      </c>
      <c r="F66" s="364">
        <v>0.57777254939194767</v>
      </c>
      <c r="G66" s="365">
        <f t="shared" si="2"/>
        <v>0.58422590068156754</v>
      </c>
      <c r="H66" s="380">
        <f t="shared" si="3"/>
        <v>4.5546558704453233E-2</v>
      </c>
    </row>
    <row r="67" spans="2:8">
      <c r="B67" s="363">
        <v>23833</v>
      </c>
      <c r="C67" s="364">
        <v>0.52857786581386002</v>
      </c>
      <c r="D67" s="365">
        <f t="shared" si="0"/>
        <v>9.6805421104551037E-2</v>
      </c>
      <c r="E67" s="362">
        <f t="shared" si="1"/>
        <v>5.29531568126278E-2</v>
      </c>
      <c r="F67" s="364">
        <v>0.5783318645414075</v>
      </c>
      <c r="G67" s="365">
        <f t="shared" si="2"/>
        <v>9.6805421103596245E-2</v>
      </c>
      <c r="H67" s="380">
        <f t="shared" si="3"/>
        <v>5.2953156822810543E-2</v>
      </c>
    </row>
    <row r="68" spans="2:8">
      <c r="B68" s="363">
        <v>23863</v>
      </c>
      <c r="C68" s="364">
        <v>0.52806666865155905</v>
      </c>
      <c r="D68" s="365">
        <f t="shared" si="0"/>
        <v>-9.6711798840432017E-2</v>
      </c>
      <c r="E68" s="362">
        <f t="shared" si="1"/>
        <v>4.2381432896491544E-2</v>
      </c>
      <c r="F68" s="364">
        <v>0.57777254939194767</v>
      </c>
      <c r="G68" s="365">
        <f t="shared" si="2"/>
        <v>-9.6711798839466123E-2</v>
      </c>
      <c r="H68" s="380">
        <f t="shared" si="3"/>
        <v>4.2381432896064553E-2</v>
      </c>
    </row>
    <row r="69" spans="2:8">
      <c r="B69" s="363">
        <v>23894</v>
      </c>
      <c r="C69" s="364">
        <v>0.52960026013846095</v>
      </c>
      <c r="D69" s="365">
        <f t="shared" ref="D69:D132" si="4">+((C69/C68)-1)*100</f>
        <v>0.29041626331349768</v>
      </c>
      <c r="E69" s="362">
        <f t="shared" si="1"/>
        <v>3.9117352046138087E-2</v>
      </c>
      <c r="F69" s="364">
        <v>0.57945049484032696</v>
      </c>
      <c r="G69" s="365">
        <f t="shared" si="2"/>
        <v>0.29041626331074433</v>
      </c>
      <c r="H69" s="380">
        <f t="shared" si="3"/>
        <v>3.9117352056168286E-2</v>
      </c>
    </row>
    <row r="70" spans="2:8">
      <c r="B70" s="363">
        <v>23924</v>
      </c>
      <c r="C70" s="364">
        <v>0.52755547149436999</v>
      </c>
      <c r="D70" s="365">
        <f t="shared" si="4"/>
        <v>-0.38610038513885447</v>
      </c>
      <c r="E70" s="362">
        <f t="shared" si="1"/>
        <v>4.3478260869565188E-2</v>
      </c>
      <c r="F70" s="364">
        <v>0.57721323424248805</v>
      </c>
      <c r="G70" s="365">
        <f t="shared" si="2"/>
        <v>-0.38610038610035202</v>
      </c>
      <c r="H70" s="380">
        <f t="shared" si="3"/>
        <v>4.3478260869565188E-2</v>
      </c>
    </row>
    <row r="71" spans="2:8">
      <c r="B71" s="363">
        <v>23955</v>
      </c>
      <c r="C71" s="364">
        <v>0.52653307716976905</v>
      </c>
      <c r="D71" s="365">
        <f t="shared" si="4"/>
        <v>-0.19379844961230352</v>
      </c>
      <c r="E71" s="362">
        <f t="shared" si="1"/>
        <v>2.2840119165838946E-2</v>
      </c>
      <c r="F71" s="364">
        <v>0.57609460394356837</v>
      </c>
      <c r="G71" s="365">
        <f t="shared" si="2"/>
        <v>-0.19379844961242565</v>
      </c>
      <c r="H71" s="380">
        <f t="shared" si="3"/>
        <v>2.2840119165838946E-2</v>
      </c>
    </row>
    <row r="72" spans="2:8">
      <c r="B72" s="363">
        <v>23986</v>
      </c>
      <c r="C72" s="364">
        <v>0.54135779487137803</v>
      </c>
      <c r="D72" s="365">
        <f t="shared" si="4"/>
        <v>2.8155339796115175</v>
      </c>
      <c r="E72" s="362">
        <f t="shared" si="1"/>
        <v>4.2322834646085772E-2</v>
      </c>
      <c r="F72" s="364">
        <v>0.59287405842736163</v>
      </c>
      <c r="G72" s="365">
        <f t="shared" si="2"/>
        <v>2.9126213592232997</v>
      </c>
      <c r="H72" s="380">
        <f t="shared" si="3"/>
        <v>4.3307086614173373E-2</v>
      </c>
    </row>
    <row r="73" spans="2:8">
      <c r="B73" s="363">
        <v>24016</v>
      </c>
      <c r="C73" s="364">
        <v>0.53675702041578399</v>
      </c>
      <c r="D73" s="365">
        <f t="shared" si="4"/>
        <v>-0.84985835600411841</v>
      </c>
      <c r="E73" s="362">
        <f t="shared" si="1"/>
        <v>3.3464566939306994E-2</v>
      </c>
      <c r="F73" s="364">
        <v>0.58560296148438462</v>
      </c>
      <c r="G73" s="365">
        <f t="shared" si="2"/>
        <v>-1.2264150943396057</v>
      </c>
      <c r="H73" s="380">
        <f t="shared" si="3"/>
        <v>3.0511811023622437E-2</v>
      </c>
    </row>
    <row r="74" spans="2:8">
      <c r="B74" s="363">
        <v>24047</v>
      </c>
      <c r="C74" s="364">
        <v>0.536245823248371</v>
      </c>
      <c r="D74" s="365">
        <f t="shared" si="4"/>
        <v>-9.5238096190530808E-2</v>
      </c>
      <c r="E74" s="362">
        <f t="shared" si="1"/>
        <v>2.8431372539216238E-2</v>
      </c>
      <c r="F74" s="364">
        <v>0.58672159178330408</v>
      </c>
      <c r="G74" s="365">
        <f t="shared" si="2"/>
        <v>0.19102196752625034</v>
      </c>
      <c r="H74" s="380">
        <f t="shared" si="3"/>
        <v>2.8431372549019507E-2</v>
      </c>
    </row>
    <row r="75" spans="2:8">
      <c r="B75" s="363">
        <v>24077</v>
      </c>
      <c r="C75" s="364">
        <v>0.54186899203879102</v>
      </c>
      <c r="D75" s="365">
        <f t="shared" si="4"/>
        <v>1.0486177321358037</v>
      </c>
      <c r="E75" s="362">
        <f t="shared" si="1"/>
        <v>3.9215686274510109E-2</v>
      </c>
      <c r="F75" s="364">
        <v>0.59287405842736163</v>
      </c>
      <c r="G75" s="365">
        <f t="shared" si="2"/>
        <v>1.048617731172552</v>
      </c>
      <c r="H75" s="380">
        <f t="shared" si="3"/>
        <v>3.9215686274509665E-2</v>
      </c>
    </row>
    <row r="76" spans="2:8">
      <c r="B76" s="363">
        <v>24108</v>
      </c>
      <c r="C76" s="364">
        <v>0.54646976649438594</v>
      </c>
      <c r="D76" s="365">
        <f t="shared" si="4"/>
        <v>0.84905660283021156</v>
      </c>
      <c r="E76" s="362">
        <f t="shared" si="1"/>
        <v>5.1130776784660936E-2</v>
      </c>
      <c r="F76" s="364">
        <v>0.59790789477249962</v>
      </c>
      <c r="G76" s="365">
        <f t="shared" si="2"/>
        <v>0.84905660377359027</v>
      </c>
      <c r="H76" s="380">
        <f t="shared" si="3"/>
        <v>5.1130776794493515E-2</v>
      </c>
    </row>
    <row r="77" spans="2:8">
      <c r="B77" s="363">
        <v>24139</v>
      </c>
      <c r="C77" s="364">
        <v>0.54186899203879102</v>
      </c>
      <c r="D77" s="365">
        <f t="shared" si="4"/>
        <v>-0.84190832461034093</v>
      </c>
      <c r="E77" s="362">
        <f t="shared" si="1"/>
        <v>3.2132424537486548E-2</v>
      </c>
      <c r="F77" s="364">
        <v>0.59287405842736163</v>
      </c>
      <c r="G77" s="365">
        <f t="shared" si="2"/>
        <v>-0.84190832553788786</v>
      </c>
      <c r="H77" s="380">
        <f t="shared" si="3"/>
        <v>3.2132424537487658E-2</v>
      </c>
    </row>
    <row r="78" spans="2:8">
      <c r="B78" s="363">
        <v>24167</v>
      </c>
      <c r="C78" s="364">
        <v>0.54493617500748404</v>
      </c>
      <c r="D78" s="365">
        <f t="shared" si="4"/>
        <v>0.56603773490575549</v>
      </c>
      <c r="E78" s="362">
        <f t="shared" si="1"/>
        <v>3.194578896449185E-2</v>
      </c>
      <c r="F78" s="364">
        <v>0.59622994932412021</v>
      </c>
      <c r="G78" s="365">
        <f t="shared" si="2"/>
        <v>0.56603773584904538</v>
      </c>
      <c r="H78" s="380">
        <f t="shared" si="3"/>
        <v>3.1945788964181876E-2</v>
      </c>
    </row>
    <row r="79" spans="2:8">
      <c r="B79" s="363">
        <v>24198</v>
      </c>
      <c r="C79" s="364">
        <v>0.54698096366179905</v>
      </c>
      <c r="D79" s="365">
        <f t="shared" si="4"/>
        <v>0.37523452251759792</v>
      </c>
      <c r="E79" s="362">
        <f t="shared" si="1"/>
        <v>3.4816247592213356E-2</v>
      </c>
      <c r="F79" s="364">
        <v>0.59846720992195945</v>
      </c>
      <c r="G79" s="365">
        <f t="shared" si="2"/>
        <v>0.37523452157601778</v>
      </c>
      <c r="H79" s="380">
        <f t="shared" si="3"/>
        <v>3.481624758220514E-2</v>
      </c>
    </row>
    <row r="80" spans="2:8">
      <c r="B80" s="363">
        <v>24228</v>
      </c>
      <c r="C80" s="364">
        <v>0.54698096366179905</v>
      </c>
      <c r="D80" s="365">
        <f t="shared" si="4"/>
        <v>0</v>
      </c>
      <c r="E80" s="362">
        <f t="shared" si="1"/>
        <v>3.581800581835326E-2</v>
      </c>
      <c r="F80" s="364">
        <v>0.59846720992195945</v>
      </c>
      <c r="G80" s="365">
        <f t="shared" si="2"/>
        <v>0</v>
      </c>
      <c r="H80" s="380">
        <f t="shared" si="3"/>
        <v>3.5818005808325504E-2</v>
      </c>
    </row>
    <row r="81" spans="2:8">
      <c r="B81" s="363">
        <v>24259</v>
      </c>
      <c r="C81" s="364">
        <v>0.54646976649438594</v>
      </c>
      <c r="D81" s="365">
        <f t="shared" si="4"/>
        <v>-9.3457944859887121E-2</v>
      </c>
      <c r="E81" s="362">
        <f t="shared" ref="E81:E144" si="5">+(C81/C69)-1</f>
        <v>3.1853281853589932E-2</v>
      </c>
      <c r="F81" s="364">
        <v>0.59790789477249962</v>
      </c>
      <c r="G81" s="365">
        <f t="shared" si="2"/>
        <v>-9.3457943925245868E-2</v>
      </c>
      <c r="H81" s="380">
        <f t="shared" ref="H81:H144" si="6">+(F81/F69)-1</f>
        <v>3.1853281853281956E-2</v>
      </c>
    </row>
    <row r="82" spans="2:8">
      <c r="B82" s="363">
        <v>24289</v>
      </c>
      <c r="C82" s="364">
        <v>0.54289138636339296</v>
      </c>
      <c r="D82" s="365">
        <f t="shared" si="4"/>
        <v>-0.65481758560008707</v>
      </c>
      <c r="E82" s="362">
        <f t="shared" si="5"/>
        <v>2.9069767441861627E-2</v>
      </c>
      <c r="F82" s="364">
        <v>0.59399268872628119</v>
      </c>
      <c r="G82" s="365">
        <f t="shared" si="2"/>
        <v>-0.65481758652946587</v>
      </c>
      <c r="H82" s="380">
        <f t="shared" si="6"/>
        <v>2.9069767441860295E-2</v>
      </c>
    </row>
    <row r="83" spans="2:8">
      <c r="B83" s="363">
        <v>24320</v>
      </c>
      <c r="C83" s="364">
        <v>0.54186899203879102</v>
      </c>
      <c r="D83" s="365">
        <f t="shared" si="4"/>
        <v>-0.18832391713755614</v>
      </c>
      <c r="E83" s="362">
        <f t="shared" si="5"/>
        <v>2.9126213592232109E-2</v>
      </c>
      <c r="F83" s="364">
        <v>0.59287405842736163</v>
      </c>
      <c r="G83" s="365">
        <f t="shared" si="2"/>
        <v>-0.18832391713747842</v>
      </c>
      <c r="H83" s="380">
        <f t="shared" si="6"/>
        <v>2.9126213592232997E-2</v>
      </c>
    </row>
    <row r="84" spans="2:8">
      <c r="B84" s="363">
        <v>24351</v>
      </c>
      <c r="C84" s="364">
        <v>0.54391378068288199</v>
      </c>
      <c r="D84" s="365">
        <f t="shared" si="4"/>
        <v>0.37735848962263674</v>
      </c>
      <c r="E84" s="362">
        <f t="shared" si="5"/>
        <v>4.7214353163811396E-3</v>
      </c>
      <c r="F84" s="364">
        <v>0.59511131902520076</v>
      </c>
      <c r="G84" s="365">
        <f t="shared" si="2"/>
        <v>0.37735849056603765</v>
      </c>
      <c r="H84" s="380">
        <f t="shared" si="6"/>
        <v>3.7735849056603765E-3</v>
      </c>
    </row>
    <row r="85" spans="2:8">
      <c r="B85" s="363">
        <v>24381</v>
      </c>
      <c r="C85" s="364">
        <v>0.55055934379790405</v>
      </c>
      <c r="D85" s="365">
        <f t="shared" si="4"/>
        <v>1.2218045122295962</v>
      </c>
      <c r="E85" s="362">
        <f t="shared" si="5"/>
        <v>2.5714285714285579E-2</v>
      </c>
      <c r="F85" s="364">
        <v>0.60238241596817776</v>
      </c>
      <c r="G85" s="365">
        <f t="shared" si="2"/>
        <v>1.2218045112781795</v>
      </c>
      <c r="H85" s="380">
        <f t="shared" si="6"/>
        <v>2.8653295128939549E-2</v>
      </c>
    </row>
    <row r="86" spans="2:8">
      <c r="B86" s="363">
        <v>24412</v>
      </c>
      <c r="C86" s="364">
        <v>0.55055934379790405</v>
      </c>
      <c r="D86" s="365">
        <f t="shared" si="4"/>
        <v>0</v>
      </c>
      <c r="E86" s="362">
        <f t="shared" si="5"/>
        <v>2.6692087712361534E-2</v>
      </c>
      <c r="F86" s="364">
        <v>0.60238241596817776</v>
      </c>
      <c r="G86" s="365">
        <f t="shared" si="2"/>
        <v>0</v>
      </c>
      <c r="H86" s="380">
        <f t="shared" si="6"/>
        <v>2.6692087702573808E-2</v>
      </c>
    </row>
    <row r="87" spans="2:8">
      <c r="B87" s="363">
        <v>24442</v>
      </c>
      <c r="C87" s="364">
        <v>0.54902575230589001</v>
      </c>
      <c r="D87" s="365">
        <f t="shared" si="4"/>
        <v>-0.27855153296190149</v>
      </c>
      <c r="E87" s="362">
        <f t="shared" si="5"/>
        <v>1.3207547160378308E-2</v>
      </c>
      <c r="F87" s="364">
        <v>0.60070447051979858</v>
      </c>
      <c r="G87" s="365">
        <f t="shared" si="2"/>
        <v>-0.27855153203339977</v>
      </c>
      <c r="H87" s="380">
        <f t="shared" si="6"/>
        <v>1.3207547169811429E-2</v>
      </c>
    </row>
    <row r="88" spans="2:8">
      <c r="B88" s="363">
        <v>24473</v>
      </c>
      <c r="C88" s="364">
        <v>0.54902575230589001</v>
      </c>
      <c r="D88" s="365">
        <f t="shared" si="4"/>
        <v>0</v>
      </c>
      <c r="E88" s="362">
        <f t="shared" si="5"/>
        <v>4.6772684752547367E-3</v>
      </c>
      <c r="F88" s="364">
        <v>0.60070447051979858</v>
      </c>
      <c r="G88" s="365">
        <f t="shared" si="2"/>
        <v>0</v>
      </c>
      <c r="H88" s="380">
        <f t="shared" si="6"/>
        <v>4.6772684752105498E-3</v>
      </c>
    </row>
    <row r="89" spans="2:8">
      <c r="B89" s="363">
        <v>24504</v>
      </c>
      <c r="C89" s="364">
        <v>0.551070540955093</v>
      </c>
      <c r="D89" s="365">
        <f t="shared" si="4"/>
        <v>0.37243947858820459</v>
      </c>
      <c r="E89" s="362">
        <f t="shared" si="5"/>
        <v>1.6981132066038684E-2</v>
      </c>
      <c r="F89" s="364">
        <v>0.6029417311176376</v>
      </c>
      <c r="G89" s="365">
        <f t="shared" si="2"/>
        <v>0.37243947858471849</v>
      </c>
      <c r="H89" s="380">
        <f t="shared" si="6"/>
        <v>1.6981132075471805E-2</v>
      </c>
    </row>
    <row r="90" spans="2:8">
      <c r="B90" s="363">
        <v>24532</v>
      </c>
      <c r="C90" s="364">
        <v>0.55822730123241504</v>
      </c>
      <c r="D90" s="365">
        <f t="shared" si="4"/>
        <v>1.2987012996409142</v>
      </c>
      <c r="E90" s="362">
        <f t="shared" si="5"/>
        <v>2.4390243912048026E-2</v>
      </c>
      <c r="F90" s="364">
        <v>0.61077214321007445</v>
      </c>
      <c r="G90" s="365">
        <f t="shared" si="2"/>
        <v>1.298701298701288</v>
      </c>
      <c r="H90" s="380">
        <f t="shared" si="6"/>
        <v>2.4390243902439268E-2</v>
      </c>
    </row>
    <row r="91" spans="2:8">
      <c r="B91" s="363">
        <v>24563</v>
      </c>
      <c r="C91" s="364">
        <v>0.55924969555190496</v>
      </c>
      <c r="D91" s="365">
        <f t="shared" si="4"/>
        <v>0.18315018223449275</v>
      </c>
      <c r="E91" s="362">
        <f t="shared" si="5"/>
        <v>2.2429906532710264E-2</v>
      </c>
      <c r="F91" s="364">
        <v>0.61189077350899401</v>
      </c>
      <c r="G91" s="365">
        <f t="shared" si="2"/>
        <v>0.1831501831501825</v>
      </c>
      <c r="H91" s="380">
        <f t="shared" si="6"/>
        <v>2.24299065420559E-2</v>
      </c>
    </row>
    <row r="92" spans="2:8">
      <c r="B92" s="363">
        <v>24593</v>
      </c>
      <c r="C92" s="364">
        <v>0.55516011825349898</v>
      </c>
      <c r="D92" s="365">
        <f t="shared" si="4"/>
        <v>-0.73126142596646737</v>
      </c>
      <c r="E92" s="362">
        <f t="shared" si="5"/>
        <v>1.4953271018691483E-2</v>
      </c>
      <c r="F92" s="364">
        <v>0.60741625231331575</v>
      </c>
      <c r="G92" s="365">
        <f t="shared" si="2"/>
        <v>-0.73126142595979493</v>
      </c>
      <c r="H92" s="380">
        <f t="shared" si="6"/>
        <v>1.4953271028037118E-2</v>
      </c>
    </row>
    <row r="93" spans="2:8">
      <c r="B93" s="363">
        <v>24624</v>
      </c>
      <c r="C93" s="364">
        <v>0.55413772392889704</v>
      </c>
      <c r="D93" s="365">
        <f t="shared" si="4"/>
        <v>-0.18416206261687718</v>
      </c>
      <c r="E93" s="362">
        <f t="shared" si="5"/>
        <v>1.4031805425762434E-2</v>
      </c>
      <c r="F93" s="364">
        <v>0.6062976220143963</v>
      </c>
      <c r="G93" s="365">
        <f t="shared" si="2"/>
        <v>-0.18416206261508972</v>
      </c>
      <c r="H93" s="380">
        <f t="shared" si="6"/>
        <v>1.4031805425631427E-2</v>
      </c>
    </row>
    <row r="94" spans="2:8">
      <c r="B94" s="363">
        <v>24654</v>
      </c>
      <c r="C94" s="364">
        <v>0.55362652676659596</v>
      </c>
      <c r="D94" s="365">
        <f t="shared" si="4"/>
        <v>-9.2250922510139777E-2</v>
      </c>
      <c r="E94" s="362">
        <f t="shared" si="5"/>
        <v>1.9774011290017546E-2</v>
      </c>
      <c r="F94" s="364">
        <v>0.60573830686493646</v>
      </c>
      <c r="G94" s="365">
        <f t="shared" si="2"/>
        <v>-9.2250922509240496E-2</v>
      </c>
      <c r="H94" s="380">
        <f t="shared" si="6"/>
        <v>1.9774011299434902E-2</v>
      </c>
    </row>
    <row r="95" spans="2:8">
      <c r="B95" s="363">
        <v>24685</v>
      </c>
      <c r="C95" s="364">
        <v>0.55209293528480596</v>
      </c>
      <c r="D95" s="365">
        <f t="shared" si="4"/>
        <v>-0.27700830932845255</v>
      </c>
      <c r="E95" s="362">
        <f t="shared" si="5"/>
        <v>1.8867924528301883E-2</v>
      </c>
      <c r="F95" s="364">
        <v>0.60406036141655717</v>
      </c>
      <c r="G95" s="365">
        <f t="shared" si="2"/>
        <v>-0.27700831024930483</v>
      </c>
      <c r="H95" s="380">
        <f t="shared" si="6"/>
        <v>1.8867924528301883E-2</v>
      </c>
    </row>
    <row r="96" spans="2:8">
      <c r="B96" s="363">
        <v>24716</v>
      </c>
      <c r="C96" s="364">
        <v>0.55413772392889704</v>
      </c>
      <c r="D96" s="365">
        <f t="shared" si="4"/>
        <v>0.37037036944445045</v>
      </c>
      <c r="E96" s="362">
        <f t="shared" si="5"/>
        <v>1.8796992481380004E-2</v>
      </c>
      <c r="F96" s="364">
        <v>0.6062976220143963</v>
      </c>
      <c r="G96" s="365">
        <f t="shared" si="2"/>
        <v>0.37037037037037646</v>
      </c>
      <c r="H96" s="380">
        <f t="shared" si="6"/>
        <v>1.8796992481203034E-2</v>
      </c>
    </row>
    <row r="97" spans="2:8">
      <c r="B97" s="363">
        <v>24746</v>
      </c>
      <c r="C97" s="364">
        <v>0.55055934379790405</v>
      </c>
      <c r="D97" s="365">
        <f t="shared" si="4"/>
        <v>-0.64575645664797232</v>
      </c>
      <c r="E97" s="362">
        <f t="shared" si="5"/>
        <v>0</v>
      </c>
      <c r="F97" s="364">
        <v>0.60238241596817776</v>
      </c>
      <c r="G97" s="365">
        <f t="shared" si="2"/>
        <v>-0.64575645756459465</v>
      </c>
      <c r="H97" s="380">
        <f t="shared" si="6"/>
        <v>0</v>
      </c>
    </row>
    <row r="98" spans="2:8">
      <c r="B98" s="363">
        <v>24777</v>
      </c>
      <c r="C98" s="364">
        <v>0.55260413244199502</v>
      </c>
      <c r="D98" s="365">
        <f t="shared" si="4"/>
        <v>0.37140204178272018</v>
      </c>
      <c r="E98" s="362">
        <f t="shared" si="5"/>
        <v>3.7140204178272018E-3</v>
      </c>
      <c r="F98" s="364">
        <v>0.60461967656601689</v>
      </c>
      <c r="G98" s="365">
        <f t="shared" si="2"/>
        <v>0.37140204271124411</v>
      </c>
      <c r="H98" s="380">
        <f t="shared" si="6"/>
        <v>3.7140204271124411E-3</v>
      </c>
    </row>
    <row r="99" spans="2:8">
      <c r="B99" s="363">
        <v>24807</v>
      </c>
      <c r="C99" s="364">
        <v>0.55209293528480596</v>
      </c>
      <c r="D99" s="365">
        <f t="shared" si="4"/>
        <v>-9.2506937096192843E-2</v>
      </c>
      <c r="E99" s="362">
        <f t="shared" si="5"/>
        <v>5.586592188133066E-3</v>
      </c>
      <c r="F99" s="364">
        <v>0.60406036141655717</v>
      </c>
      <c r="G99" s="365">
        <f t="shared" si="2"/>
        <v>-9.2506938020342488E-2</v>
      </c>
      <c r="H99" s="380">
        <f t="shared" si="6"/>
        <v>5.5865921787707773E-3</v>
      </c>
    </row>
    <row r="100" spans="2:8">
      <c r="B100" s="363">
        <v>24838</v>
      </c>
      <c r="C100" s="364">
        <v>0.55618251257810003</v>
      </c>
      <c r="D100" s="365">
        <f t="shared" si="4"/>
        <v>0.74074073981482691</v>
      </c>
      <c r="E100" s="362">
        <f t="shared" si="5"/>
        <v>1.3035381750586161E-2</v>
      </c>
      <c r="F100" s="364">
        <v>0.60853488261223543</v>
      </c>
      <c r="G100" s="365">
        <f t="shared" si="2"/>
        <v>0.74074074074075291</v>
      </c>
      <c r="H100" s="380">
        <f t="shared" si="6"/>
        <v>1.3035381750465591E-2</v>
      </c>
    </row>
    <row r="101" spans="2:8">
      <c r="B101" s="363">
        <v>24869</v>
      </c>
      <c r="C101" s="364">
        <v>0.55924969555190496</v>
      </c>
      <c r="D101" s="365">
        <f t="shared" si="4"/>
        <v>0.55147058824043249</v>
      </c>
      <c r="E101" s="362">
        <f t="shared" si="5"/>
        <v>1.4842300556723975E-2</v>
      </c>
      <c r="F101" s="364">
        <v>0.61189077350899401</v>
      </c>
      <c r="G101" s="365">
        <f t="shared" si="2"/>
        <v>0.55147058823528106</v>
      </c>
      <c r="H101" s="380">
        <f t="shared" si="6"/>
        <v>1.4842300556586308E-2</v>
      </c>
    </row>
    <row r="102" spans="2:8">
      <c r="B102" s="363">
        <v>24898</v>
      </c>
      <c r="C102" s="364">
        <v>0.56129448420110795</v>
      </c>
      <c r="D102" s="365">
        <f t="shared" si="4"/>
        <v>0.36563071298323369</v>
      </c>
      <c r="E102" s="362">
        <f t="shared" si="5"/>
        <v>5.4945054853487996E-3</v>
      </c>
      <c r="F102" s="364">
        <v>0.61412803410683314</v>
      </c>
      <c r="G102" s="365">
        <f t="shared" si="2"/>
        <v>0.36563071297990302</v>
      </c>
      <c r="H102" s="380">
        <f t="shared" si="6"/>
        <v>5.494505494505475E-3</v>
      </c>
    </row>
    <row r="103" spans="2:8">
      <c r="B103" s="363">
        <v>24929</v>
      </c>
      <c r="C103" s="364">
        <v>0.56027208987650601</v>
      </c>
      <c r="D103" s="365">
        <f t="shared" si="4"/>
        <v>-0.18214936247896718</v>
      </c>
      <c r="E103" s="362">
        <f t="shared" si="5"/>
        <v>1.8281535649153913E-3</v>
      </c>
      <c r="F103" s="364">
        <v>0.61300940380791358</v>
      </c>
      <c r="G103" s="365">
        <f t="shared" si="2"/>
        <v>-0.18214936247723523</v>
      </c>
      <c r="H103" s="380">
        <f t="shared" si="6"/>
        <v>1.8281535648994041E-3</v>
      </c>
    </row>
    <row r="104" spans="2:8">
      <c r="B104" s="363">
        <v>24959</v>
      </c>
      <c r="C104" s="364">
        <v>0.56282807568800997</v>
      </c>
      <c r="D104" s="365">
        <f t="shared" si="4"/>
        <v>0.45620437956623849</v>
      </c>
      <c r="E104" s="362">
        <f t="shared" si="5"/>
        <v>1.3812154696259293E-2</v>
      </c>
      <c r="F104" s="364">
        <v>0.61580597955521243</v>
      </c>
      <c r="G104" s="365">
        <f t="shared" si="2"/>
        <v>0.45620437956204185</v>
      </c>
      <c r="H104" s="380">
        <f t="shared" si="6"/>
        <v>1.3812154696132728E-2</v>
      </c>
    </row>
    <row r="105" spans="2:8">
      <c r="B105" s="363">
        <v>24990</v>
      </c>
      <c r="C105" s="364">
        <v>0.556693709740401</v>
      </c>
      <c r="D105" s="365">
        <f t="shared" si="4"/>
        <v>-1.0899182561406873</v>
      </c>
      <c r="E105" s="362">
        <f t="shared" si="5"/>
        <v>4.6125461255042133E-3</v>
      </c>
      <c r="F105" s="364">
        <v>0.60909419776169516</v>
      </c>
      <c r="G105" s="365">
        <f t="shared" si="2"/>
        <v>-1.0899182561307841</v>
      </c>
      <c r="H105" s="380">
        <f t="shared" si="6"/>
        <v>4.6125461254611366E-3</v>
      </c>
    </row>
    <row r="106" spans="2:8">
      <c r="B106" s="363">
        <v>25020</v>
      </c>
      <c r="C106" s="364">
        <v>0.55260413244199502</v>
      </c>
      <c r="D106" s="365">
        <f t="shared" si="4"/>
        <v>-0.73461891644384103</v>
      </c>
      <c r="E106" s="362">
        <f t="shared" si="5"/>
        <v>-1.8467220683447971E-3</v>
      </c>
      <c r="F106" s="364">
        <v>0.60461967656601689</v>
      </c>
      <c r="G106" s="365">
        <f t="shared" si="2"/>
        <v>-0.73461891643711308</v>
      </c>
      <c r="H106" s="380">
        <f t="shared" si="6"/>
        <v>-1.8467220683286989E-3</v>
      </c>
    </row>
    <row r="107" spans="2:8">
      <c r="B107" s="363">
        <v>25051</v>
      </c>
      <c r="C107" s="364">
        <v>0.55362652676659596</v>
      </c>
      <c r="D107" s="365">
        <f t="shared" si="4"/>
        <v>0.1850138760423059</v>
      </c>
      <c r="E107" s="362">
        <f t="shared" si="5"/>
        <v>2.7777777685180638E-3</v>
      </c>
      <c r="F107" s="364">
        <v>0.60573830686493646</v>
      </c>
      <c r="G107" s="365">
        <f t="shared" si="2"/>
        <v>0.18501387604070718</v>
      </c>
      <c r="H107" s="380">
        <f t="shared" si="6"/>
        <v>2.7777777777777679E-3</v>
      </c>
    </row>
    <row r="108" spans="2:8">
      <c r="B108" s="363">
        <v>25082</v>
      </c>
      <c r="C108" s="364">
        <v>0.55055934379790405</v>
      </c>
      <c r="D108" s="365">
        <f t="shared" si="4"/>
        <v>-0.55401661958026649</v>
      </c>
      <c r="E108" s="362">
        <f t="shared" si="5"/>
        <v>-6.4575645664797232E-3</v>
      </c>
      <c r="F108" s="364">
        <v>0.60238241596817776</v>
      </c>
      <c r="G108" s="365">
        <f t="shared" si="2"/>
        <v>-0.55401662049862077</v>
      </c>
      <c r="H108" s="380">
        <f t="shared" si="6"/>
        <v>-6.4575645756459465E-3</v>
      </c>
    </row>
    <row r="109" spans="2:8">
      <c r="B109" s="363">
        <v>25112</v>
      </c>
      <c r="C109" s="364">
        <v>0.551070540955093</v>
      </c>
      <c r="D109" s="365">
        <f t="shared" si="4"/>
        <v>9.2850509749342613E-2</v>
      </c>
      <c r="E109" s="362">
        <f t="shared" si="5"/>
        <v>9.2850509749342613E-4</v>
      </c>
      <c r="F109" s="364">
        <v>0.6029417311176376</v>
      </c>
      <c r="G109" s="365">
        <f t="shared" si="2"/>
        <v>9.2850510677822129E-2</v>
      </c>
      <c r="H109" s="380">
        <f t="shared" si="6"/>
        <v>9.2850510677822129E-4</v>
      </c>
    </row>
    <row r="110" spans="2:8">
      <c r="B110" s="363">
        <v>25143</v>
      </c>
      <c r="C110" s="364">
        <v>0.55771610406500205</v>
      </c>
      <c r="D110" s="365">
        <f t="shared" si="4"/>
        <v>1.2059369202336967</v>
      </c>
      <c r="E110" s="362">
        <f t="shared" si="5"/>
        <v>9.2506938021199581E-3</v>
      </c>
      <c r="F110" s="364">
        <v>0.61021282806061461</v>
      </c>
      <c r="G110" s="365">
        <f t="shared" si="2"/>
        <v>1.2059369202226167</v>
      </c>
      <c r="H110" s="380">
        <f t="shared" si="6"/>
        <v>9.250693802035137E-3</v>
      </c>
    </row>
    <row r="111" spans="2:8">
      <c r="B111" s="363">
        <v>25173</v>
      </c>
      <c r="C111" s="364">
        <v>0.56691765298641605</v>
      </c>
      <c r="D111" s="365">
        <f t="shared" si="4"/>
        <v>1.6498625114726106</v>
      </c>
      <c r="E111" s="362">
        <f t="shared" si="5"/>
        <v>2.6851851842593311E-2</v>
      </c>
      <c r="F111" s="364">
        <v>0.6202805007508907</v>
      </c>
      <c r="G111" s="365">
        <f t="shared" si="2"/>
        <v>1.6498625114574006</v>
      </c>
      <c r="H111" s="380">
        <f t="shared" si="6"/>
        <v>2.6851851851851904E-2</v>
      </c>
    </row>
    <row r="112" spans="2:8">
      <c r="B112" s="363">
        <v>25204</v>
      </c>
      <c r="C112" s="364">
        <v>0.55976089271931695</v>
      </c>
      <c r="D112" s="365">
        <f t="shared" si="4"/>
        <v>-1.2623985563685713</v>
      </c>
      <c r="E112" s="362">
        <f t="shared" si="5"/>
        <v>6.4338235386616205E-3</v>
      </c>
      <c r="F112" s="364">
        <v>0.61245008865845374</v>
      </c>
      <c r="G112" s="365">
        <f t="shared" si="2"/>
        <v>-1.2623985572588037</v>
      </c>
      <c r="H112" s="380">
        <f t="shared" si="6"/>
        <v>6.4338235294116863E-3</v>
      </c>
    </row>
    <row r="113" spans="2:8">
      <c r="B113" s="363">
        <v>25235</v>
      </c>
      <c r="C113" s="364">
        <v>0.57458561042092704</v>
      </c>
      <c r="D113" s="365">
        <f t="shared" si="4"/>
        <v>2.6484018255708452</v>
      </c>
      <c r="E113" s="362">
        <f t="shared" si="5"/>
        <v>2.7422303473741971E-2</v>
      </c>
      <c r="F113" s="364">
        <v>0.62867022799278738</v>
      </c>
      <c r="G113" s="365">
        <f t="shared" si="2"/>
        <v>2.6484018264840481</v>
      </c>
      <c r="H113" s="380">
        <f t="shared" si="6"/>
        <v>2.7422303473491949E-2</v>
      </c>
    </row>
    <row r="114" spans="2:8">
      <c r="B114" s="363">
        <v>25263</v>
      </c>
      <c r="C114" s="364">
        <v>0.57918638488163399</v>
      </c>
      <c r="D114" s="365">
        <f t="shared" si="4"/>
        <v>0.80071174377940313</v>
      </c>
      <c r="E114" s="362">
        <f t="shared" si="5"/>
        <v>3.1876138433805545E-2</v>
      </c>
      <c r="F114" s="364">
        <v>0.63370406433792514</v>
      </c>
      <c r="G114" s="365">
        <f t="shared" si="2"/>
        <v>0.80071174377220888</v>
      </c>
      <c r="H114" s="380">
        <f t="shared" si="6"/>
        <v>3.1876138433515333E-2</v>
      </c>
    </row>
    <row r="115" spans="2:8">
      <c r="B115" s="363">
        <v>25294</v>
      </c>
      <c r="C115" s="364">
        <v>0.56794004731101699</v>
      </c>
      <c r="D115" s="365">
        <f t="shared" si="4"/>
        <v>-1.9417475728327749</v>
      </c>
      <c r="E115" s="362">
        <f t="shared" si="5"/>
        <v>1.3686131386985823E-2</v>
      </c>
      <c r="F115" s="364">
        <v>0.62139913104981026</v>
      </c>
      <c r="G115" s="365">
        <f t="shared" si="2"/>
        <v>-1.9417475728155109</v>
      </c>
      <c r="H115" s="380">
        <f t="shared" si="6"/>
        <v>1.3686131386861478E-2</v>
      </c>
    </row>
    <row r="116" spans="2:8">
      <c r="B116" s="363">
        <v>25324</v>
      </c>
      <c r="C116" s="364">
        <v>0.56845124447842998</v>
      </c>
      <c r="D116" s="365">
        <f t="shared" si="4"/>
        <v>9.0009001801027999E-2</v>
      </c>
      <c r="E116" s="362">
        <f t="shared" si="5"/>
        <v>9.99091735703872E-3</v>
      </c>
      <c r="F116" s="364">
        <v>0.62195844619926999</v>
      </c>
      <c r="G116" s="365">
        <f t="shared" si="2"/>
        <v>9.0009000900082015E-2</v>
      </c>
      <c r="H116" s="380">
        <f t="shared" si="6"/>
        <v>9.9909173478656133E-3</v>
      </c>
    </row>
    <row r="117" spans="2:8">
      <c r="B117" s="363">
        <v>25355</v>
      </c>
      <c r="C117" s="364">
        <v>0.56589525866692603</v>
      </c>
      <c r="D117" s="365">
        <f t="shared" si="4"/>
        <v>-0.44964028776982579</v>
      </c>
      <c r="E117" s="362">
        <f t="shared" si="5"/>
        <v>1.6528925629168523E-2</v>
      </c>
      <c r="F117" s="364">
        <v>0.61916187045197113</v>
      </c>
      <c r="G117" s="365">
        <f t="shared" ref="G117:G180" si="7">+((F117/F116)-1)*100</f>
        <v>-0.44964028776978138</v>
      </c>
      <c r="H117" s="380">
        <f t="shared" si="6"/>
        <v>1.6528925619834656E-2</v>
      </c>
    </row>
    <row r="118" spans="2:8">
      <c r="B118" s="363">
        <v>25385</v>
      </c>
      <c r="C118" s="364">
        <v>0.57100723028993405</v>
      </c>
      <c r="D118" s="365">
        <f t="shared" si="4"/>
        <v>0.90334236675710944</v>
      </c>
      <c r="E118" s="362">
        <f t="shared" si="5"/>
        <v>3.3302497696885647E-2</v>
      </c>
      <c r="F118" s="364">
        <v>0.62475502194656884</v>
      </c>
      <c r="G118" s="365">
        <f t="shared" si="7"/>
        <v>0.90334236675699842</v>
      </c>
      <c r="H118" s="380">
        <f t="shared" si="6"/>
        <v>3.3302497687326627E-2</v>
      </c>
    </row>
    <row r="119" spans="2:8">
      <c r="B119" s="363">
        <v>25416</v>
      </c>
      <c r="C119" s="364">
        <v>0.57765279339984299</v>
      </c>
      <c r="D119" s="365">
        <f t="shared" si="4"/>
        <v>1.1638316920320912</v>
      </c>
      <c r="E119" s="362">
        <f t="shared" si="5"/>
        <v>4.3397968615359162E-2</v>
      </c>
      <c r="F119" s="364">
        <v>0.63202611888954596</v>
      </c>
      <c r="G119" s="365">
        <f t="shared" si="7"/>
        <v>1.1638316920322467</v>
      </c>
      <c r="H119" s="380">
        <f t="shared" si="6"/>
        <v>4.3397968605724868E-2</v>
      </c>
    </row>
    <row r="120" spans="2:8">
      <c r="B120" s="363">
        <v>25447</v>
      </c>
      <c r="C120" s="364">
        <v>0.57356321610143701</v>
      </c>
      <c r="D120" s="365">
        <f t="shared" si="4"/>
        <v>-0.70796460176991705</v>
      </c>
      <c r="E120" s="362">
        <f t="shared" si="5"/>
        <v>4.1782729805012853E-2</v>
      </c>
      <c r="F120" s="364">
        <v>0.6275515976938677</v>
      </c>
      <c r="G120" s="365">
        <f t="shared" si="7"/>
        <v>-0.70796460176991705</v>
      </c>
      <c r="H120" s="380">
        <f t="shared" si="6"/>
        <v>4.1782729805013963E-2</v>
      </c>
    </row>
    <row r="121" spans="2:8">
      <c r="B121" s="363">
        <v>25477</v>
      </c>
      <c r="C121" s="364">
        <v>0.56947363879791901</v>
      </c>
      <c r="D121" s="365">
        <f t="shared" si="4"/>
        <v>-0.71301247860963146</v>
      </c>
      <c r="E121" s="362">
        <f t="shared" si="5"/>
        <v>3.3395176252627223E-2</v>
      </c>
      <c r="F121" s="364">
        <v>0.62307707649818955</v>
      </c>
      <c r="G121" s="365">
        <f t="shared" si="7"/>
        <v>-0.71301247771835552</v>
      </c>
      <c r="H121" s="380">
        <f t="shared" si="6"/>
        <v>3.3395176252319247E-2</v>
      </c>
    </row>
    <row r="122" spans="2:8">
      <c r="B122" s="363">
        <v>25508</v>
      </c>
      <c r="C122" s="364">
        <v>0.56640645582411497</v>
      </c>
      <c r="D122" s="365">
        <f t="shared" si="4"/>
        <v>-0.5385996409383309</v>
      </c>
      <c r="E122" s="362">
        <f t="shared" si="5"/>
        <v>1.5582034830573965E-2</v>
      </c>
      <c r="F122" s="364">
        <v>0.61972118560143086</v>
      </c>
      <c r="G122" s="365">
        <f t="shared" si="7"/>
        <v>-0.53859964093357915</v>
      </c>
      <c r="H122" s="380">
        <f t="shared" si="6"/>
        <v>1.5582034830430969E-2</v>
      </c>
    </row>
    <row r="123" spans="2:8">
      <c r="B123" s="363">
        <v>25538</v>
      </c>
      <c r="C123" s="364">
        <v>0.56538406149951304</v>
      </c>
      <c r="D123" s="365">
        <f t="shared" si="4"/>
        <v>-0.18050541516416718</v>
      </c>
      <c r="E123" s="362">
        <f t="shared" si="5"/>
        <v>-2.7051397655802889E-3</v>
      </c>
      <c r="F123" s="364">
        <v>0.61860255530251129</v>
      </c>
      <c r="G123" s="365">
        <f t="shared" si="7"/>
        <v>-0.18050541516245744</v>
      </c>
      <c r="H123" s="380">
        <f t="shared" si="6"/>
        <v>-2.7051397655546428E-3</v>
      </c>
    </row>
    <row r="124" spans="2:8">
      <c r="B124" s="363">
        <v>25569</v>
      </c>
      <c r="C124" s="364">
        <v>0.56027208987650601</v>
      </c>
      <c r="D124" s="365">
        <f t="shared" si="4"/>
        <v>-0.90415913201533638</v>
      </c>
      <c r="E124" s="362">
        <f t="shared" si="5"/>
        <v>9.1324200000042488E-4</v>
      </c>
      <c r="F124" s="364">
        <v>0.61300940380791358</v>
      </c>
      <c r="G124" s="365">
        <f t="shared" si="7"/>
        <v>-0.90415913200723175</v>
      </c>
      <c r="H124" s="380">
        <f t="shared" si="6"/>
        <v>9.1324200913245335E-4</v>
      </c>
    </row>
    <row r="125" spans="2:8">
      <c r="B125" s="363">
        <v>25600</v>
      </c>
      <c r="C125" s="364">
        <v>0.56180568136340803</v>
      </c>
      <c r="D125" s="365">
        <f t="shared" si="4"/>
        <v>0.27372262773968092</v>
      </c>
      <c r="E125" s="362">
        <f t="shared" si="5"/>
        <v>-2.2241992882760742E-2</v>
      </c>
      <c r="F125" s="364">
        <v>0.61468734925629298</v>
      </c>
      <c r="G125" s="365">
        <f t="shared" si="7"/>
        <v>0.27372262773723843</v>
      </c>
      <c r="H125" s="380">
        <f t="shared" si="6"/>
        <v>-2.2241992882562345E-2</v>
      </c>
    </row>
    <row r="126" spans="2:8">
      <c r="B126" s="363">
        <v>25628</v>
      </c>
      <c r="C126" s="364">
        <v>0.56129448420110795</v>
      </c>
      <c r="D126" s="365">
        <f t="shared" si="4"/>
        <v>-9.0991810737739431E-2</v>
      </c>
      <c r="E126" s="362">
        <f t="shared" si="5"/>
        <v>-3.0891438658701476E-2</v>
      </c>
      <c r="F126" s="364">
        <v>0.61412803410683314</v>
      </c>
      <c r="G126" s="365">
        <f t="shared" si="7"/>
        <v>-9.0991810737039991E-2</v>
      </c>
      <c r="H126" s="380">
        <f t="shared" si="6"/>
        <v>-3.0891438658428805E-2</v>
      </c>
    </row>
    <row r="127" spans="2:8">
      <c r="B127" s="363">
        <v>25659</v>
      </c>
      <c r="C127" s="364">
        <v>0.55924969555190496</v>
      </c>
      <c r="D127" s="365">
        <f t="shared" si="4"/>
        <v>-0.36429872495777893</v>
      </c>
      <c r="E127" s="362">
        <f t="shared" si="5"/>
        <v>-1.5301530153151832E-2</v>
      </c>
      <c r="F127" s="364">
        <v>0.61189077350899401</v>
      </c>
      <c r="G127" s="365">
        <f t="shared" si="7"/>
        <v>-0.36429872495447047</v>
      </c>
      <c r="H127" s="380">
        <f t="shared" si="6"/>
        <v>-1.5301530153015386E-2</v>
      </c>
    </row>
    <row r="128" spans="2:8">
      <c r="B128" s="363">
        <v>25689</v>
      </c>
      <c r="C128" s="364">
        <v>0.56691765298641605</v>
      </c>
      <c r="D128" s="365">
        <f t="shared" si="4"/>
        <v>1.3711151736871097</v>
      </c>
      <c r="E128" s="362">
        <f t="shared" si="5"/>
        <v>-2.6978417356110507E-3</v>
      </c>
      <c r="F128" s="364">
        <v>0.6202805007508907</v>
      </c>
      <c r="G128" s="365">
        <f t="shared" si="7"/>
        <v>1.3711151736746086</v>
      </c>
      <c r="H128" s="380">
        <f t="shared" si="6"/>
        <v>-2.6978417266186883E-3</v>
      </c>
    </row>
    <row r="129" spans="2:8">
      <c r="B129" s="363">
        <v>25720</v>
      </c>
      <c r="C129" s="364">
        <v>0.56538406149951304</v>
      </c>
      <c r="D129" s="365">
        <f t="shared" si="4"/>
        <v>-0.27051397655802889</v>
      </c>
      <c r="E129" s="362">
        <f t="shared" si="5"/>
        <v>-9.0334237579092758E-4</v>
      </c>
      <c r="F129" s="364">
        <v>0.61860255530251129</v>
      </c>
      <c r="G129" s="365">
        <f t="shared" si="7"/>
        <v>-0.27051397655546428</v>
      </c>
      <c r="H129" s="380">
        <f t="shared" si="6"/>
        <v>-9.0334236675715385E-4</v>
      </c>
    </row>
    <row r="130" spans="2:8">
      <c r="B130" s="363">
        <v>25750</v>
      </c>
      <c r="C130" s="364">
        <v>0.56589525866692603</v>
      </c>
      <c r="D130" s="365">
        <f t="shared" si="4"/>
        <v>9.0415914105745898E-2</v>
      </c>
      <c r="E130" s="362">
        <f t="shared" si="5"/>
        <v>-8.9525514771719994E-3</v>
      </c>
      <c r="F130" s="364">
        <v>0.61916187045197113</v>
      </c>
      <c r="G130" s="365">
        <f t="shared" si="7"/>
        <v>9.0415913200736497E-2</v>
      </c>
      <c r="H130" s="380">
        <f t="shared" si="6"/>
        <v>-8.9525514771708892E-3</v>
      </c>
    </row>
    <row r="131" spans="2:8">
      <c r="B131" s="363">
        <v>25781</v>
      </c>
      <c r="C131" s="364">
        <v>0.56282807568800997</v>
      </c>
      <c r="D131" s="365">
        <f t="shared" si="4"/>
        <v>-0.54200542095746984</v>
      </c>
      <c r="E131" s="362">
        <f t="shared" si="5"/>
        <v>-2.5663716823007832E-2</v>
      </c>
      <c r="F131" s="364">
        <v>0.61580597955521243</v>
      </c>
      <c r="G131" s="365">
        <f t="shared" si="7"/>
        <v>-0.54200542005420349</v>
      </c>
      <c r="H131" s="380">
        <f t="shared" si="6"/>
        <v>-2.5663716814159354E-2</v>
      </c>
    </row>
    <row r="132" spans="2:8">
      <c r="B132" s="363">
        <v>25812</v>
      </c>
      <c r="C132" s="364">
        <v>0.56691765298641605</v>
      </c>
      <c r="D132" s="365">
        <f t="shared" si="4"/>
        <v>0.72661217076048779</v>
      </c>
      <c r="E132" s="362">
        <f t="shared" si="5"/>
        <v>-1.1586452771834788E-2</v>
      </c>
      <c r="F132" s="364">
        <v>0.6202805007508907</v>
      </c>
      <c r="G132" s="365">
        <f t="shared" si="7"/>
        <v>0.72661217075387086</v>
      </c>
      <c r="H132" s="380">
        <f t="shared" si="6"/>
        <v>-1.1586452762923249E-2</v>
      </c>
    </row>
    <row r="133" spans="2:8">
      <c r="B133" s="363">
        <v>25842</v>
      </c>
      <c r="C133" s="364">
        <v>0.56385047001261102</v>
      </c>
      <c r="D133" s="365">
        <f t="shared" ref="D133:D196" si="8">+((C133/C132)-1)*100</f>
        <v>-0.54102795311589125</v>
      </c>
      <c r="E133" s="362">
        <f t="shared" si="5"/>
        <v>-9.8743267505371213E-3</v>
      </c>
      <c r="F133" s="364">
        <v>0.616924609854132</v>
      </c>
      <c r="G133" s="365">
        <f t="shared" si="7"/>
        <v>-0.54102795311091745</v>
      </c>
      <c r="H133" s="380">
        <f t="shared" si="6"/>
        <v>-9.8743267504488585E-3</v>
      </c>
    </row>
    <row r="134" spans="2:8">
      <c r="B134" s="363">
        <v>25873</v>
      </c>
      <c r="C134" s="364">
        <v>0.56794004731101699</v>
      </c>
      <c r="D134" s="365">
        <f t="shared" si="8"/>
        <v>0.72529465095851897</v>
      </c>
      <c r="E134" s="362">
        <f t="shared" si="5"/>
        <v>2.7075812274608424E-3</v>
      </c>
      <c r="F134" s="364">
        <v>0.62139913104981026</v>
      </c>
      <c r="G134" s="365">
        <f t="shared" si="7"/>
        <v>0.72529465095196866</v>
      </c>
      <c r="H134" s="380">
        <f t="shared" si="6"/>
        <v>2.7075812274368616E-3</v>
      </c>
    </row>
    <row r="135" spans="2:8">
      <c r="B135" s="363">
        <v>25903</v>
      </c>
      <c r="C135" s="364">
        <v>0.57816399055703205</v>
      </c>
      <c r="D135" s="365">
        <f t="shared" si="8"/>
        <v>1.8001800180180272</v>
      </c>
      <c r="E135" s="362">
        <f t="shared" si="5"/>
        <v>2.2603978300385963E-2</v>
      </c>
      <c r="F135" s="364">
        <v>0.63258543403900569</v>
      </c>
      <c r="G135" s="365">
        <f t="shared" si="7"/>
        <v>1.8001800180017957</v>
      </c>
      <c r="H135" s="380">
        <f t="shared" si="6"/>
        <v>2.2603978300180794E-2</v>
      </c>
    </row>
    <row r="136" spans="2:8">
      <c r="B136" s="363">
        <v>25934</v>
      </c>
      <c r="C136" s="364">
        <v>0.56845124447842998</v>
      </c>
      <c r="D136" s="365">
        <f t="shared" si="8"/>
        <v>-1.6799292652668218</v>
      </c>
      <c r="E136" s="362">
        <f t="shared" si="5"/>
        <v>1.4598540155242867E-2</v>
      </c>
      <c r="F136" s="364">
        <v>0.62195844619926999</v>
      </c>
      <c r="G136" s="365">
        <f t="shared" si="7"/>
        <v>-1.6799292661361598</v>
      </c>
      <c r="H136" s="380">
        <f t="shared" si="6"/>
        <v>1.4598540145985384E-2</v>
      </c>
    </row>
    <row r="137" spans="2:8">
      <c r="B137" s="363">
        <v>25965</v>
      </c>
      <c r="C137" s="364">
        <v>0.59912307421647504</v>
      </c>
      <c r="D137" s="365">
        <f t="shared" si="8"/>
        <v>5.3956834532374653</v>
      </c>
      <c r="E137" s="362">
        <f t="shared" si="5"/>
        <v>6.6424021847739212E-2</v>
      </c>
      <c r="F137" s="364">
        <v>0.6555173551668565</v>
      </c>
      <c r="G137" s="365">
        <f t="shared" si="7"/>
        <v>5.3956834532374209</v>
      </c>
      <c r="H137" s="380">
        <f t="shared" si="6"/>
        <v>6.642402183803453E-2</v>
      </c>
    </row>
    <row r="138" spans="2:8">
      <c r="B138" s="363">
        <v>25993</v>
      </c>
      <c r="C138" s="364">
        <v>0.59452229975065596</v>
      </c>
      <c r="D138" s="365">
        <f t="shared" si="8"/>
        <v>-0.76791808959051355</v>
      </c>
      <c r="E138" s="362">
        <f t="shared" si="5"/>
        <v>5.9198542805638299E-2</v>
      </c>
      <c r="F138" s="364">
        <v>0.65048351882171851</v>
      </c>
      <c r="G138" s="365">
        <f t="shared" si="7"/>
        <v>-0.76791808873720724</v>
      </c>
      <c r="H138" s="380">
        <f t="shared" si="6"/>
        <v>5.9198542805100063E-2</v>
      </c>
    </row>
    <row r="139" spans="2:8">
      <c r="B139" s="363">
        <v>26024</v>
      </c>
      <c r="C139" s="364">
        <v>0.58174237069313695</v>
      </c>
      <c r="D139" s="365">
        <f t="shared" si="8"/>
        <v>-2.1496130696660121</v>
      </c>
      <c r="E139" s="362">
        <f t="shared" si="5"/>
        <v>4.0219378428153929E-2</v>
      </c>
      <c r="F139" s="364">
        <v>0.63650064008522411</v>
      </c>
      <c r="G139" s="365">
        <f t="shared" si="7"/>
        <v>-2.1496130696474713</v>
      </c>
      <c r="H139" s="380">
        <f t="shared" si="6"/>
        <v>4.0219378427788E-2</v>
      </c>
    </row>
    <row r="140" spans="2:8">
      <c r="B140" s="363">
        <v>26054</v>
      </c>
      <c r="C140" s="364">
        <v>0.57816399055703205</v>
      </c>
      <c r="D140" s="365">
        <f t="shared" si="8"/>
        <v>-0.61511423550623112</v>
      </c>
      <c r="E140" s="362">
        <f t="shared" si="5"/>
        <v>1.9837691614244868E-2</v>
      </c>
      <c r="F140" s="364">
        <v>0.63258543403900569</v>
      </c>
      <c r="G140" s="365">
        <f t="shared" si="7"/>
        <v>-0.61511423550087985</v>
      </c>
      <c r="H140" s="380">
        <f t="shared" si="6"/>
        <v>1.9837691614066566E-2</v>
      </c>
    </row>
    <row r="141" spans="2:8">
      <c r="B141" s="363">
        <v>26085</v>
      </c>
      <c r="C141" s="364">
        <v>0.59401110259346701</v>
      </c>
      <c r="D141" s="365">
        <f t="shared" si="8"/>
        <v>2.740937224604223</v>
      </c>
      <c r="E141" s="362">
        <f t="shared" si="5"/>
        <v>5.0632911401904845E-2</v>
      </c>
      <c r="F141" s="364">
        <v>0.64992420367225878</v>
      </c>
      <c r="G141" s="365">
        <f t="shared" si="7"/>
        <v>2.7409372236958607</v>
      </c>
      <c r="H141" s="380">
        <f t="shared" si="6"/>
        <v>5.0632911392405111E-2</v>
      </c>
    </row>
    <row r="142" spans="2:8">
      <c r="B142" s="363">
        <v>26115</v>
      </c>
      <c r="C142" s="364">
        <v>0.597589482724461</v>
      </c>
      <c r="D142" s="365">
        <f t="shared" si="8"/>
        <v>0.60240963769375711</v>
      </c>
      <c r="E142" s="362">
        <f t="shared" si="5"/>
        <v>5.6007226729901882E-2</v>
      </c>
      <c r="F142" s="364">
        <v>0.6538394097184772</v>
      </c>
      <c r="G142" s="365">
        <f t="shared" si="7"/>
        <v>0.60240963855422436</v>
      </c>
      <c r="H142" s="380">
        <f t="shared" si="6"/>
        <v>5.6007226738933991E-2</v>
      </c>
    </row>
    <row r="143" spans="2:8">
      <c r="B143" s="363">
        <v>26146</v>
      </c>
      <c r="C143" s="364">
        <v>0.59452229975065596</v>
      </c>
      <c r="D143" s="365">
        <f t="shared" si="8"/>
        <v>-0.51325919589840785</v>
      </c>
      <c r="E143" s="362">
        <f t="shared" si="5"/>
        <v>5.6312443233935028E-2</v>
      </c>
      <c r="F143" s="364">
        <v>0.65048351882171851</v>
      </c>
      <c r="G143" s="365">
        <f t="shared" si="7"/>
        <v>-0.51325919589393365</v>
      </c>
      <c r="H143" s="380">
        <f t="shared" si="6"/>
        <v>5.6312443233424103E-2</v>
      </c>
    </row>
    <row r="144" spans="2:8">
      <c r="B144" s="363">
        <v>26177</v>
      </c>
      <c r="C144" s="364">
        <v>0.590432722457362</v>
      </c>
      <c r="D144" s="365">
        <f t="shared" si="8"/>
        <v>-0.68787618143325568</v>
      </c>
      <c r="E144" s="362">
        <f t="shared" si="5"/>
        <v>4.1478809747893752E-2</v>
      </c>
      <c r="F144" s="364">
        <v>0.64600899762604036</v>
      </c>
      <c r="G144" s="365">
        <f t="shared" si="7"/>
        <v>-0.68787618228718372</v>
      </c>
      <c r="H144" s="380">
        <f t="shared" si="6"/>
        <v>4.1478809738503264E-2</v>
      </c>
    </row>
    <row r="145" spans="2:8">
      <c r="B145" s="363">
        <v>26207</v>
      </c>
      <c r="C145" s="364">
        <v>0.59861187704906205</v>
      </c>
      <c r="D145" s="365">
        <f t="shared" si="8"/>
        <v>1.3852813844156042</v>
      </c>
      <c r="E145" s="362">
        <f t="shared" ref="E145:E208" si="9">+(C145/C133)-1</f>
        <v>6.1650045331475223E-2</v>
      </c>
      <c r="F145" s="364">
        <v>0.65495804001739666</v>
      </c>
      <c r="G145" s="365">
        <f t="shared" si="7"/>
        <v>1.3852813852813783</v>
      </c>
      <c r="H145" s="380">
        <f t="shared" ref="H145:H208" si="10">+(F145/F133)-1</f>
        <v>6.165004533091567E-2</v>
      </c>
    </row>
    <row r="146" spans="2:8">
      <c r="B146" s="363">
        <v>26238</v>
      </c>
      <c r="C146" s="364">
        <v>0.60474624299667101</v>
      </c>
      <c r="D146" s="365">
        <f t="shared" si="8"/>
        <v>1.0247651579933903</v>
      </c>
      <c r="E146" s="362">
        <f t="shared" si="9"/>
        <v>6.4806480648648579E-2</v>
      </c>
      <c r="F146" s="364">
        <v>0.66166982181091394</v>
      </c>
      <c r="G146" s="365">
        <f t="shared" si="7"/>
        <v>1.0247651579846195</v>
      </c>
      <c r="H146" s="380">
        <f t="shared" si="10"/>
        <v>6.4806480648064602E-2</v>
      </c>
    </row>
    <row r="147" spans="2:8">
      <c r="B147" s="363">
        <v>26268</v>
      </c>
      <c r="C147" s="364">
        <v>0.61445898908549701</v>
      </c>
      <c r="D147" s="365">
        <f t="shared" si="8"/>
        <v>1.6060862223296946</v>
      </c>
      <c r="E147" s="362">
        <f t="shared" si="9"/>
        <v>6.2776304165011343E-2</v>
      </c>
      <c r="F147" s="364">
        <v>0.67229680965064975</v>
      </c>
      <c r="G147" s="365">
        <f t="shared" si="7"/>
        <v>1.6060862214708482</v>
      </c>
      <c r="H147" s="380">
        <f t="shared" si="10"/>
        <v>6.2776304155614637E-2</v>
      </c>
    </row>
    <row r="148" spans="2:8">
      <c r="B148" s="363">
        <v>26299</v>
      </c>
      <c r="C148" s="364">
        <v>0.62979490395451998</v>
      </c>
      <c r="D148" s="365">
        <f t="shared" si="8"/>
        <v>2.4958402662230483</v>
      </c>
      <c r="E148" s="362">
        <f t="shared" si="9"/>
        <v>0.10791366906474886</v>
      </c>
      <c r="F148" s="364">
        <v>0.68907626413444301</v>
      </c>
      <c r="G148" s="365">
        <f t="shared" si="7"/>
        <v>2.4958402662229595</v>
      </c>
      <c r="H148" s="380">
        <f t="shared" si="10"/>
        <v>0.1079136690647482</v>
      </c>
    </row>
    <row r="149" spans="2:8">
      <c r="B149" s="363">
        <v>26330</v>
      </c>
      <c r="C149" s="364">
        <v>0.64461962165612896</v>
      </c>
      <c r="D149" s="365">
        <f t="shared" si="8"/>
        <v>2.3538961030842964</v>
      </c>
      <c r="E149" s="362">
        <f t="shared" si="9"/>
        <v>7.5938566544367703E-2</v>
      </c>
      <c r="F149" s="364">
        <v>0.70529640346877642</v>
      </c>
      <c r="G149" s="365">
        <f t="shared" si="7"/>
        <v>2.3538961038960915</v>
      </c>
      <c r="H149" s="380">
        <f t="shared" si="10"/>
        <v>7.5938566552900877E-2</v>
      </c>
    </row>
    <row r="150" spans="2:8">
      <c r="B150" s="363">
        <v>26359</v>
      </c>
      <c r="C150" s="364">
        <v>0.64410842449894001</v>
      </c>
      <c r="D150" s="365">
        <f t="shared" si="8"/>
        <v>-7.9302140365444806E-2</v>
      </c>
      <c r="E150" s="362">
        <f t="shared" si="9"/>
        <v>8.3404987111636686E-2</v>
      </c>
      <c r="F150" s="364">
        <v>0.70473708831931658</v>
      </c>
      <c r="G150" s="365">
        <f t="shared" si="7"/>
        <v>-7.9302141157822081E-2</v>
      </c>
      <c r="H150" s="380">
        <f t="shared" si="10"/>
        <v>8.3404987102321471E-2</v>
      </c>
    </row>
    <row r="151" spans="2:8">
      <c r="B151" s="363">
        <v>26390</v>
      </c>
      <c r="C151" s="364">
        <v>0.63797405854621902</v>
      </c>
      <c r="D151" s="365">
        <f t="shared" si="8"/>
        <v>-0.95238095317461413</v>
      </c>
      <c r="E151" s="362">
        <f t="shared" si="9"/>
        <v>9.6660808436701773E-2</v>
      </c>
      <c r="F151" s="364">
        <v>0.69802530652579942</v>
      </c>
      <c r="G151" s="365">
        <f t="shared" si="7"/>
        <v>-0.9523809523809379</v>
      </c>
      <c r="H151" s="380">
        <f t="shared" si="10"/>
        <v>9.6660808435852452E-2</v>
      </c>
    </row>
    <row r="152" spans="2:8">
      <c r="B152" s="363">
        <v>26420</v>
      </c>
      <c r="C152" s="364">
        <v>0.63439567841011402</v>
      </c>
      <c r="D152" s="365">
        <f t="shared" si="8"/>
        <v>-0.560897435901897</v>
      </c>
      <c r="E152" s="362">
        <f t="shared" si="9"/>
        <v>9.7259062777163896E-2</v>
      </c>
      <c r="F152" s="364">
        <v>0.69411010047958088</v>
      </c>
      <c r="G152" s="365">
        <f t="shared" si="7"/>
        <v>-0.56089743589745611</v>
      </c>
      <c r="H152" s="380">
        <f t="shared" si="10"/>
        <v>9.7259062776304139E-2</v>
      </c>
    </row>
    <row r="153" spans="2:8">
      <c r="B153" s="363">
        <v>26451</v>
      </c>
      <c r="C153" s="364">
        <v>0.632862086923212</v>
      </c>
      <c r="D153" s="365">
        <f t="shared" si="8"/>
        <v>-0.24174053183108057</v>
      </c>
      <c r="E153" s="362">
        <f t="shared" si="9"/>
        <v>6.5404475034423815E-2</v>
      </c>
      <c r="F153" s="364">
        <v>0.69243215503120159</v>
      </c>
      <c r="G153" s="365">
        <f t="shared" si="7"/>
        <v>-0.24174053182915989</v>
      </c>
      <c r="H153" s="380">
        <f t="shared" si="10"/>
        <v>6.5404475043029153E-2</v>
      </c>
    </row>
    <row r="154" spans="2:8">
      <c r="B154" s="363">
        <v>26481</v>
      </c>
      <c r="C154" s="364">
        <v>0.642063635844625</v>
      </c>
      <c r="D154" s="365">
        <f t="shared" si="8"/>
        <v>1.4539579967806526</v>
      </c>
      <c r="E154" s="362">
        <f t="shared" si="9"/>
        <v>7.4422583405254317E-2</v>
      </c>
      <c r="F154" s="364">
        <v>0.70249982772147757</v>
      </c>
      <c r="G154" s="365">
        <f t="shared" si="7"/>
        <v>1.4539579967689953</v>
      </c>
      <c r="H154" s="380">
        <f t="shared" si="10"/>
        <v>7.4422583404619269E-2</v>
      </c>
    </row>
    <row r="155" spans="2:8">
      <c r="B155" s="363">
        <v>26512</v>
      </c>
      <c r="C155" s="364">
        <v>0.65382117057754296</v>
      </c>
      <c r="D155" s="365">
        <f t="shared" si="8"/>
        <v>1.8312101910975098</v>
      </c>
      <c r="E155" s="362">
        <f t="shared" si="9"/>
        <v>9.9742046432500731E-2</v>
      </c>
      <c r="F155" s="364">
        <v>0.7153640761590524</v>
      </c>
      <c r="G155" s="365">
        <f t="shared" si="7"/>
        <v>1.8312101910828105</v>
      </c>
      <c r="H155" s="380">
        <f t="shared" si="10"/>
        <v>9.9742046431642306E-2</v>
      </c>
    </row>
    <row r="156" spans="2:8">
      <c r="B156" s="363">
        <v>26543</v>
      </c>
      <c r="C156" s="364">
        <v>0.65842194503824902</v>
      </c>
      <c r="D156" s="365">
        <f t="shared" si="8"/>
        <v>0.70367474590062873</v>
      </c>
      <c r="E156" s="362">
        <f t="shared" si="9"/>
        <v>0.1151515151428566</v>
      </c>
      <c r="F156" s="364">
        <v>0.7203979125041905</v>
      </c>
      <c r="G156" s="365">
        <f t="shared" si="7"/>
        <v>0.70367474589525525</v>
      </c>
      <c r="H156" s="380">
        <f t="shared" si="10"/>
        <v>0.11515151515151523</v>
      </c>
    </row>
    <row r="157" spans="2:8">
      <c r="B157" s="363">
        <v>26573</v>
      </c>
      <c r="C157" s="364">
        <v>0.65944433936796298</v>
      </c>
      <c r="D157" s="365">
        <f t="shared" si="8"/>
        <v>0.1552795038832766</v>
      </c>
      <c r="E157" s="362">
        <f t="shared" si="9"/>
        <v>0.10162254484288336</v>
      </c>
      <c r="F157" s="364">
        <v>0.72151654280310995</v>
      </c>
      <c r="G157" s="365">
        <f t="shared" si="7"/>
        <v>0.15527950310558758</v>
      </c>
      <c r="H157" s="380">
        <f t="shared" si="10"/>
        <v>0.10162254483347577</v>
      </c>
    </row>
    <row r="158" spans="2:8">
      <c r="B158" s="363">
        <v>26604</v>
      </c>
      <c r="C158" s="364">
        <v>0.65944433936796298</v>
      </c>
      <c r="D158" s="365">
        <f t="shared" si="8"/>
        <v>0</v>
      </c>
      <c r="E158" s="362">
        <f t="shared" si="9"/>
        <v>9.0448013534154548E-2</v>
      </c>
      <c r="F158" s="364">
        <v>0.72151654280310995</v>
      </c>
      <c r="G158" s="365">
        <f t="shared" si="7"/>
        <v>0</v>
      </c>
      <c r="H158" s="380">
        <f t="shared" si="10"/>
        <v>9.044801352493681E-2</v>
      </c>
    </row>
    <row r="159" spans="2:8">
      <c r="B159" s="363">
        <v>26634</v>
      </c>
      <c r="C159" s="364">
        <v>0.67273546558266994</v>
      </c>
      <c r="D159" s="365">
        <f t="shared" si="8"/>
        <v>2.015503875193736</v>
      </c>
      <c r="E159" s="362">
        <f t="shared" si="9"/>
        <v>9.4841930108152894E-2</v>
      </c>
      <c r="F159" s="364">
        <v>0.73605873668906407</v>
      </c>
      <c r="G159" s="365">
        <f t="shared" si="7"/>
        <v>2.0155038759689825</v>
      </c>
      <c r="H159" s="380">
        <f t="shared" si="10"/>
        <v>9.4841930116472462E-2</v>
      </c>
    </row>
    <row r="160" spans="2:8">
      <c r="B160" s="363">
        <v>26665</v>
      </c>
      <c r="C160" s="364">
        <v>0.68807138045169303</v>
      </c>
      <c r="D160" s="365">
        <f t="shared" si="8"/>
        <v>2.2796352583760893</v>
      </c>
      <c r="E160" s="362">
        <f t="shared" si="9"/>
        <v>9.2532467524350404E-2</v>
      </c>
      <c r="F160" s="364">
        <v>0.75283819117285722</v>
      </c>
      <c r="G160" s="365">
        <f t="shared" si="7"/>
        <v>2.2796352583586366</v>
      </c>
      <c r="H160" s="380">
        <f t="shared" si="10"/>
        <v>9.2532467532467244E-2</v>
      </c>
    </row>
    <row r="161" spans="2:8">
      <c r="B161" s="363">
        <v>26696</v>
      </c>
      <c r="C161" s="364">
        <v>0.69318335207470005</v>
      </c>
      <c r="D161" s="365">
        <f t="shared" si="8"/>
        <v>0.74294205052551909</v>
      </c>
      <c r="E161" s="362">
        <f t="shared" si="9"/>
        <v>7.5337034100518396E-2</v>
      </c>
      <c r="F161" s="364">
        <v>0.75843134266745504</v>
      </c>
      <c r="G161" s="365">
        <f t="shared" si="7"/>
        <v>0.742942050520079</v>
      </c>
      <c r="H161" s="380">
        <f t="shared" si="10"/>
        <v>7.5337034099920652E-2</v>
      </c>
    </row>
    <row r="162" spans="2:8">
      <c r="B162" s="363">
        <v>26724</v>
      </c>
      <c r="C162" s="364">
        <v>0.72129919600124104</v>
      </c>
      <c r="D162" s="365">
        <f t="shared" si="8"/>
        <v>4.0560471976700097</v>
      </c>
      <c r="E162" s="362">
        <f t="shared" si="9"/>
        <v>0.11984126983333376</v>
      </c>
      <c r="F162" s="364">
        <v>0.7891936758877427</v>
      </c>
      <c r="G162" s="365">
        <f t="shared" si="7"/>
        <v>4.0560471976401224</v>
      </c>
      <c r="H162" s="380">
        <f t="shared" si="10"/>
        <v>0.11984126984126986</v>
      </c>
    </row>
    <row r="163" spans="2:8">
      <c r="B163" s="363">
        <v>26755</v>
      </c>
      <c r="C163" s="364">
        <v>0.71720961870283495</v>
      </c>
      <c r="D163" s="365">
        <f t="shared" si="8"/>
        <v>-0.5669737774668282</v>
      </c>
      <c r="E163" s="362">
        <f t="shared" si="9"/>
        <v>0.12419871794971349</v>
      </c>
      <c r="F163" s="364">
        <v>0.78471915469206466</v>
      </c>
      <c r="G163" s="365">
        <f t="shared" si="7"/>
        <v>-0.56697377746277589</v>
      </c>
      <c r="H163" s="380">
        <f t="shared" si="10"/>
        <v>0.12419871794871806</v>
      </c>
    </row>
    <row r="164" spans="2:8">
      <c r="B164" s="363">
        <v>26785</v>
      </c>
      <c r="C164" s="364">
        <v>0.71312004140954099</v>
      </c>
      <c r="D164" s="365">
        <f t="shared" si="8"/>
        <v>-0.57020669922002165</v>
      </c>
      <c r="E164" s="362">
        <f t="shared" si="9"/>
        <v>0.12409347301469875</v>
      </c>
      <c r="F164" s="364">
        <v>0.78024463349638629</v>
      </c>
      <c r="G164" s="365">
        <f t="shared" si="7"/>
        <v>-0.57020669992874362</v>
      </c>
      <c r="H164" s="380">
        <f t="shared" si="10"/>
        <v>0.12409347300564066</v>
      </c>
    </row>
    <row r="165" spans="2:8">
      <c r="B165" s="363">
        <v>26816</v>
      </c>
      <c r="C165" s="364">
        <v>0.72896715343575202</v>
      </c>
      <c r="D165" s="365">
        <f t="shared" si="8"/>
        <v>2.2222222215053655</v>
      </c>
      <c r="E165" s="362">
        <f t="shared" si="9"/>
        <v>0.15185783521931984</v>
      </c>
      <c r="F165" s="364">
        <v>0.79758340312963938</v>
      </c>
      <c r="G165" s="365">
        <f t="shared" si="7"/>
        <v>2.2222222222222365</v>
      </c>
      <c r="H165" s="380">
        <f t="shared" si="10"/>
        <v>0.15185783521809371</v>
      </c>
    </row>
    <row r="166" spans="2:8">
      <c r="B166" s="363">
        <v>26846</v>
      </c>
      <c r="C166" s="364">
        <v>0.74072468816866899</v>
      </c>
      <c r="D166" s="365">
        <f t="shared" si="8"/>
        <v>1.61290322581773</v>
      </c>
      <c r="E166" s="362">
        <f t="shared" si="9"/>
        <v>0.15366242038338895</v>
      </c>
      <c r="F166" s="364">
        <v>0.81044765156721421</v>
      </c>
      <c r="G166" s="365">
        <f t="shared" si="7"/>
        <v>1.6129032258064502</v>
      </c>
      <c r="H166" s="380">
        <f t="shared" si="10"/>
        <v>0.15366242038216571</v>
      </c>
    </row>
    <row r="167" spans="2:8">
      <c r="B167" s="363">
        <v>26877</v>
      </c>
      <c r="C167" s="364">
        <v>0.78213165832014198</v>
      </c>
      <c r="D167" s="365">
        <f t="shared" si="8"/>
        <v>5.5900621125300365</v>
      </c>
      <c r="E167" s="362">
        <f t="shared" si="9"/>
        <v>0.19624706803124448</v>
      </c>
      <c r="F167" s="364">
        <v>0.85687080897237533</v>
      </c>
      <c r="G167" s="365">
        <f t="shared" si="7"/>
        <v>5.7280883367839541</v>
      </c>
      <c r="H167" s="380">
        <f t="shared" si="10"/>
        <v>0.19781078967943677</v>
      </c>
    </row>
    <row r="168" spans="2:8">
      <c r="B168" s="363">
        <v>26908</v>
      </c>
      <c r="C168" s="364">
        <v>0.73765750519486495</v>
      </c>
      <c r="D168" s="365">
        <f t="shared" si="8"/>
        <v>-5.6862745104575341</v>
      </c>
      <c r="E168" s="362">
        <f t="shared" si="9"/>
        <v>0.12034161490776696</v>
      </c>
      <c r="F168" s="364">
        <v>0.80821039096937508</v>
      </c>
      <c r="G168" s="365">
        <f t="shared" si="7"/>
        <v>-5.6788511749347066</v>
      </c>
      <c r="H168" s="380">
        <f t="shared" si="10"/>
        <v>0.12189440993788803</v>
      </c>
    </row>
    <row r="169" spans="2:8">
      <c r="B169" s="363">
        <v>26938</v>
      </c>
      <c r="C169" s="364">
        <v>0.72487757613734605</v>
      </c>
      <c r="D169" s="365">
        <f t="shared" si="8"/>
        <v>-1.7325017325137693</v>
      </c>
      <c r="E169" s="362">
        <f t="shared" si="9"/>
        <v>9.9224806193797699E-2</v>
      </c>
      <c r="F169" s="364">
        <v>0.79422751223288057</v>
      </c>
      <c r="G169" s="365">
        <f t="shared" si="7"/>
        <v>-1.7301038062283891</v>
      </c>
      <c r="H169" s="380">
        <f t="shared" si="10"/>
        <v>0.10077519379844935</v>
      </c>
    </row>
    <row r="170" spans="2:8">
      <c r="B170" s="363">
        <v>26969</v>
      </c>
      <c r="C170" s="364">
        <v>0.74890384277059296</v>
      </c>
      <c r="D170" s="365">
        <f t="shared" si="8"/>
        <v>3.3145275042546718</v>
      </c>
      <c r="E170" s="362">
        <f t="shared" si="9"/>
        <v>0.13565891472868108</v>
      </c>
      <c r="F170" s="364">
        <v>0.81939669395857073</v>
      </c>
      <c r="G170" s="365">
        <f t="shared" si="7"/>
        <v>3.1690140845070713</v>
      </c>
      <c r="H170" s="380">
        <f t="shared" si="10"/>
        <v>0.13565891472868241</v>
      </c>
    </row>
    <row r="171" spans="2:8">
      <c r="B171" s="363">
        <v>26999</v>
      </c>
      <c r="C171" s="364">
        <v>0.76781813777572105</v>
      </c>
      <c r="D171" s="365">
        <f t="shared" si="8"/>
        <v>2.5255972696246465</v>
      </c>
      <c r="E171" s="362">
        <f t="shared" si="9"/>
        <v>0.14133738602691048</v>
      </c>
      <c r="F171" s="364">
        <v>0.84009135448858219</v>
      </c>
      <c r="G171" s="365">
        <f t="shared" si="7"/>
        <v>2.5255972696245355</v>
      </c>
      <c r="H171" s="380">
        <f t="shared" si="10"/>
        <v>0.14133738601823698</v>
      </c>
    </row>
    <row r="172" spans="2:8">
      <c r="B172" s="363">
        <v>27030</v>
      </c>
      <c r="C172" s="364">
        <v>0.83222898022050296</v>
      </c>
      <c r="D172" s="365">
        <f t="shared" si="8"/>
        <v>8.3888149127829372</v>
      </c>
      <c r="E172" s="362">
        <f t="shared" si="9"/>
        <v>0.20950965824821233</v>
      </c>
      <c r="F172" s="364">
        <v>0.91056506332051401</v>
      </c>
      <c r="G172" s="365">
        <f t="shared" si="7"/>
        <v>8.388814913448762</v>
      </c>
      <c r="H172" s="380">
        <f t="shared" si="10"/>
        <v>0.20950965824665713</v>
      </c>
    </row>
    <row r="173" spans="2:8">
      <c r="B173" s="363">
        <v>27061</v>
      </c>
      <c r="C173" s="364">
        <v>0.94827073606788503</v>
      </c>
      <c r="D173" s="365">
        <f t="shared" si="8"/>
        <v>13.943488944188932</v>
      </c>
      <c r="E173" s="362">
        <f t="shared" si="9"/>
        <v>0.36799410030507462</v>
      </c>
      <c r="F173" s="364">
        <v>1.0375296022478828</v>
      </c>
      <c r="G173" s="365">
        <f t="shared" si="7"/>
        <v>13.943488943488935</v>
      </c>
      <c r="H173" s="380">
        <f t="shared" si="10"/>
        <v>0.36799410029498514</v>
      </c>
    </row>
    <row r="174" spans="2:8">
      <c r="B174" s="363">
        <v>27089</v>
      </c>
      <c r="C174" s="364">
        <v>0.93906918714647103</v>
      </c>
      <c r="D174" s="365">
        <f t="shared" si="8"/>
        <v>-0.97035040431272535</v>
      </c>
      <c r="E174" s="362">
        <f t="shared" si="9"/>
        <v>0.30191353650816399</v>
      </c>
      <c r="F174" s="364">
        <v>1.0274619295576071</v>
      </c>
      <c r="G174" s="365">
        <f t="shared" si="7"/>
        <v>-0.97035040431264763</v>
      </c>
      <c r="H174" s="380">
        <f t="shared" si="10"/>
        <v>0.30191353649893715</v>
      </c>
    </row>
    <row r="175" spans="2:8">
      <c r="B175" s="363">
        <v>27120</v>
      </c>
      <c r="C175" s="364">
        <v>0.91248693470683195</v>
      </c>
      <c r="D175" s="365">
        <f t="shared" si="8"/>
        <v>-2.830702231899862</v>
      </c>
      <c r="E175" s="362">
        <f t="shared" si="9"/>
        <v>0.27227369922503408</v>
      </c>
      <c r="F175" s="364">
        <v>0.99837754178569871</v>
      </c>
      <c r="G175" s="365">
        <f t="shared" si="7"/>
        <v>-2.8307022318998398</v>
      </c>
      <c r="H175" s="380">
        <f t="shared" si="10"/>
        <v>0.27227369921596578</v>
      </c>
    </row>
    <row r="176" spans="2:8">
      <c r="B176" s="363">
        <v>27150</v>
      </c>
      <c r="C176" s="364">
        <v>0.91964369497393095</v>
      </c>
      <c r="D176" s="365">
        <f t="shared" si="8"/>
        <v>0.78431372493001916</v>
      </c>
      <c r="E176" s="362">
        <f t="shared" si="9"/>
        <v>0.28960573475985729</v>
      </c>
      <c r="F176" s="364">
        <v>1.0062079538781357</v>
      </c>
      <c r="G176" s="365">
        <f t="shared" si="7"/>
        <v>0.7843137254902155</v>
      </c>
      <c r="H176" s="380">
        <f t="shared" si="10"/>
        <v>0.28960573476702534</v>
      </c>
    </row>
    <row r="177" spans="2:8">
      <c r="B177" s="363">
        <v>27181</v>
      </c>
      <c r="C177" s="364">
        <v>0.92117728646594499</v>
      </c>
      <c r="D177" s="365">
        <f t="shared" si="8"/>
        <v>0.16675931128495858</v>
      </c>
      <c r="E177" s="362">
        <f t="shared" si="9"/>
        <v>0.2636746143146127</v>
      </c>
      <c r="F177" s="364">
        <v>1.0078858993265147</v>
      </c>
      <c r="G177" s="365">
        <f t="shared" si="7"/>
        <v>0.16675931072815953</v>
      </c>
      <c r="H177" s="380">
        <f t="shared" si="10"/>
        <v>0.26367461430575023</v>
      </c>
    </row>
    <row r="178" spans="2:8">
      <c r="B178" s="363">
        <v>27211</v>
      </c>
      <c r="C178" s="364">
        <v>0.90226299146081701</v>
      </c>
      <c r="D178" s="365">
        <f t="shared" si="8"/>
        <v>-2.0532741398446519</v>
      </c>
      <c r="E178" s="362">
        <f t="shared" si="9"/>
        <v>0.21808143548114667</v>
      </c>
      <c r="F178" s="364">
        <v>0.98719123879650328</v>
      </c>
      <c r="G178" s="365">
        <f t="shared" si="7"/>
        <v>-2.0532741398445964</v>
      </c>
      <c r="H178" s="380">
        <f t="shared" si="10"/>
        <v>0.21808143547274006</v>
      </c>
    </row>
    <row r="179" spans="2:8">
      <c r="B179" s="363">
        <v>27242</v>
      </c>
      <c r="C179" s="364">
        <v>0.92168848362313405</v>
      </c>
      <c r="D179" s="365">
        <f t="shared" si="8"/>
        <v>2.1529745036827919</v>
      </c>
      <c r="E179" s="362">
        <f t="shared" si="9"/>
        <v>0.17843137254248398</v>
      </c>
      <c r="F179" s="364">
        <v>1.0084452144759748</v>
      </c>
      <c r="G179" s="365">
        <f t="shared" si="7"/>
        <v>2.1529745042492943</v>
      </c>
      <c r="H179" s="380">
        <f t="shared" si="10"/>
        <v>0.17689295039164543</v>
      </c>
    </row>
    <row r="180" spans="2:8">
      <c r="B180" s="363">
        <v>27273</v>
      </c>
      <c r="C180" s="364">
        <v>0.90430778010490798</v>
      </c>
      <c r="D180" s="365">
        <f t="shared" si="8"/>
        <v>-1.8857459789345499</v>
      </c>
      <c r="E180" s="362">
        <f t="shared" si="9"/>
        <v>0.22591822591979116</v>
      </c>
      <c r="F180" s="364">
        <v>0.9894284993943423</v>
      </c>
      <c r="G180" s="365">
        <f t="shared" si="7"/>
        <v>-1.885745978924025</v>
      </c>
      <c r="H180" s="380">
        <f t="shared" si="10"/>
        <v>0.22422145328719734</v>
      </c>
    </row>
    <row r="181" spans="2:8">
      <c r="B181" s="363">
        <v>27303</v>
      </c>
      <c r="C181" s="364">
        <v>0.90635256875411097</v>
      </c>
      <c r="D181" s="365">
        <f t="shared" si="8"/>
        <v>0.22611644997301283</v>
      </c>
      <c r="E181" s="362">
        <f t="shared" si="9"/>
        <v>0.2503526093106514</v>
      </c>
      <c r="F181" s="364">
        <v>0.99166575999218143</v>
      </c>
      <c r="G181" s="365">
        <f t="shared" ref="G181:G244" si="11">+((F181/F180)-1)*100</f>
        <v>0.22611644997174718</v>
      </c>
      <c r="H181" s="380">
        <f t="shared" si="10"/>
        <v>0.24859154929577487</v>
      </c>
    </row>
    <row r="182" spans="2:8">
      <c r="B182" s="363">
        <v>27334</v>
      </c>
      <c r="C182" s="364">
        <v>0.93140122971196004</v>
      </c>
      <c r="D182" s="365">
        <f t="shared" si="8"/>
        <v>2.7636773835463924</v>
      </c>
      <c r="E182" s="362">
        <f t="shared" si="9"/>
        <v>0.24368600682593966</v>
      </c>
      <c r="F182" s="364">
        <v>1.0190722023157102</v>
      </c>
      <c r="G182" s="365">
        <f t="shared" si="11"/>
        <v>2.7636773829667005</v>
      </c>
      <c r="H182" s="380">
        <f t="shared" si="10"/>
        <v>0.24368600682593811</v>
      </c>
    </row>
    <row r="183" spans="2:8">
      <c r="B183" s="363">
        <v>27364</v>
      </c>
      <c r="C183" s="364">
        <v>0.93651320133496696</v>
      </c>
      <c r="D183" s="365">
        <f t="shared" si="8"/>
        <v>0.54884742041707568</v>
      </c>
      <c r="E183" s="362">
        <f t="shared" si="9"/>
        <v>0.21970705725699013</v>
      </c>
      <c r="F183" s="364">
        <v>1.0246653538103081</v>
      </c>
      <c r="G183" s="365">
        <f t="shared" si="11"/>
        <v>0.5488474204171423</v>
      </c>
      <c r="H183" s="380">
        <f t="shared" si="10"/>
        <v>0.2197070572569908</v>
      </c>
    </row>
    <row r="184" spans="2:8">
      <c r="B184" s="363">
        <v>27395</v>
      </c>
      <c r="C184" s="364">
        <v>0.95236031336117899</v>
      </c>
      <c r="D184" s="365">
        <f t="shared" si="8"/>
        <v>1.6921397374455083</v>
      </c>
      <c r="E184" s="362">
        <f t="shared" si="9"/>
        <v>0.14434889434978171</v>
      </c>
      <c r="F184" s="364">
        <v>1.0420041234435613</v>
      </c>
      <c r="G184" s="365">
        <f t="shared" si="11"/>
        <v>1.6921397379912939</v>
      </c>
      <c r="H184" s="380">
        <f t="shared" si="10"/>
        <v>0.14434889434889442</v>
      </c>
    </row>
    <row r="185" spans="2:8">
      <c r="B185" s="363">
        <v>27426</v>
      </c>
      <c r="C185" s="364">
        <v>0.96769622823020096</v>
      </c>
      <c r="D185" s="365">
        <f t="shared" si="8"/>
        <v>1.6103059581406454</v>
      </c>
      <c r="E185" s="362">
        <f t="shared" si="9"/>
        <v>2.048517519676496E-2</v>
      </c>
      <c r="F185" s="364">
        <v>1.0587835779273544</v>
      </c>
      <c r="G185" s="365">
        <f t="shared" si="11"/>
        <v>1.61030595813203</v>
      </c>
      <c r="H185" s="380">
        <f t="shared" si="10"/>
        <v>2.0485175202156425E-2</v>
      </c>
    </row>
    <row r="186" spans="2:8">
      <c r="B186" s="363">
        <v>27454</v>
      </c>
      <c r="C186" s="364">
        <v>0.93958038430365998</v>
      </c>
      <c r="D186" s="365">
        <f t="shared" si="8"/>
        <v>-2.9054410988003432</v>
      </c>
      <c r="E186" s="362">
        <f t="shared" si="9"/>
        <v>5.4436580838346238E-4</v>
      </c>
      <c r="F186" s="364">
        <v>1.0280212447070667</v>
      </c>
      <c r="G186" s="365">
        <f t="shared" si="11"/>
        <v>-2.905441098785011</v>
      </c>
      <c r="H186" s="380">
        <f t="shared" si="10"/>
        <v>5.4436581382666382E-4</v>
      </c>
    </row>
    <row r="187" spans="2:8">
      <c r="B187" s="363">
        <v>27485</v>
      </c>
      <c r="C187" s="364">
        <v>0.93037883538735799</v>
      </c>
      <c r="D187" s="365">
        <f t="shared" si="8"/>
        <v>-0.97932535310657487</v>
      </c>
      <c r="E187" s="362">
        <f t="shared" si="9"/>
        <v>1.9607843137254832E-2</v>
      </c>
      <c r="F187" s="364">
        <v>1.0179535720167909</v>
      </c>
      <c r="G187" s="365">
        <f t="shared" si="11"/>
        <v>-0.97932535364524398</v>
      </c>
      <c r="H187" s="380">
        <f t="shared" si="10"/>
        <v>1.9607843137255054E-2</v>
      </c>
    </row>
    <row r="188" spans="2:8">
      <c r="B188" s="363">
        <v>27515</v>
      </c>
      <c r="C188" s="364">
        <v>0.96258425660719305</v>
      </c>
      <c r="D188" s="365">
        <f t="shared" si="8"/>
        <v>3.4615384609890221</v>
      </c>
      <c r="E188" s="362">
        <f t="shared" si="9"/>
        <v>4.6692607004150011E-2</v>
      </c>
      <c r="F188" s="364">
        <v>1.0531904264327567</v>
      </c>
      <c r="G188" s="365">
        <f t="shared" si="11"/>
        <v>3.4615384615384492</v>
      </c>
      <c r="H188" s="380">
        <f t="shared" si="10"/>
        <v>4.6692607003891107E-2</v>
      </c>
    </row>
    <row r="189" spans="2:8">
      <c r="B189" s="363">
        <v>27546</v>
      </c>
      <c r="C189" s="364">
        <v>0.96053946795798995</v>
      </c>
      <c r="D189" s="365">
        <f t="shared" si="8"/>
        <v>-0.21242697822737577</v>
      </c>
      <c r="E189" s="362">
        <f t="shared" si="9"/>
        <v>4.273029966148667E-2</v>
      </c>
      <c r="F189" s="364">
        <v>1.0509531658349176</v>
      </c>
      <c r="G189" s="365">
        <f t="shared" si="11"/>
        <v>-0.21242697822623224</v>
      </c>
      <c r="H189" s="380">
        <f t="shared" si="10"/>
        <v>4.2730299667036897E-2</v>
      </c>
    </row>
    <row r="190" spans="2:8">
      <c r="B190" s="363">
        <v>27576</v>
      </c>
      <c r="C190" s="364">
        <v>0.95236031336117899</v>
      </c>
      <c r="D190" s="365">
        <f t="shared" si="8"/>
        <v>-0.85151676424072287</v>
      </c>
      <c r="E190" s="362">
        <f t="shared" si="9"/>
        <v>5.5524079314448471E-2</v>
      </c>
      <c r="F190" s="364">
        <v>1.0420041234435613</v>
      </c>
      <c r="G190" s="365">
        <f t="shared" si="11"/>
        <v>-0.85151676423628198</v>
      </c>
      <c r="H190" s="380">
        <f t="shared" si="10"/>
        <v>5.5524079320113273E-2</v>
      </c>
    </row>
    <row r="191" spans="2:8">
      <c r="B191" s="363">
        <v>27607</v>
      </c>
      <c r="C191" s="364">
        <v>0.99172249486344799</v>
      </c>
      <c r="D191" s="365">
        <f t="shared" si="8"/>
        <v>4.1331186264311537</v>
      </c>
      <c r="E191" s="362">
        <f t="shared" si="9"/>
        <v>7.5984470333199772E-2</v>
      </c>
      <c r="F191" s="364">
        <v>1.0850713899519637</v>
      </c>
      <c r="G191" s="365">
        <f t="shared" si="11"/>
        <v>4.133118625872223</v>
      </c>
      <c r="H191" s="380">
        <f t="shared" si="10"/>
        <v>7.5984470327232101E-2</v>
      </c>
    </row>
    <row r="192" spans="2:8">
      <c r="B192" s="363">
        <v>27638</v>
      </c>
      <c r="C192" s="364">
        <v>1.0254615075701901</v>
      </c>
      <c r="D192" s="365">
        <f t="shared" si="8"/>
        <v>3.4020618551551252</v>
      </c>
      <c r="E192" s="362">
        <f t="shared" si="9"/>
        <v>0.13397399660901632</v>
      </c>
      <c r="F192" s="364">
        <v>1.1219861898163088</v>
      </c>
      <c r="G192" s="365">
        <f t="shared" si="11"/>
        <v>3.402061855670091</v>
      </c>
      <c r="H192" s="380">
        <f t="shared" si="10"/>
        <v>0.13397399660825315</v>
      </c>
    </row>
    <row r="193" spans="2:8">
      <c r="B193" s="363">
        <v>27668</v>
      </c>
      <c r="C193" s="364">
        <v>1.0080808040570699</v>
      </c>
      <c r="D193" s="365">
        <f t="shared" si="8"/>
        <v>-1.6949152537478862</v>
      </c>
      <c r="E193" s="362">
        <f t="shared" si="9"/>
        <v>0.11223914270226709</v>
      </c>
      <c r="F193" s="364">
        <v>1.1029694747346765</v>
      </c>
      <c r="G193" s="365">
        <f t="shared" si="11"/>
        <v>-1.6949152542372836</v>
      </c>
      <c r="H193" s="380">
        <f t="shared" si="10"/>
        <v>0.11223914269599544</v>
      </c>
    </row>
    <row r="194" spans="2:8">
      <c r="B194" s="363">
        <v>27699</v>
      </c>
      <c r="C194" s="364">
        <v>1.0014352409420499</v>
      </c>
      <c r="D194" s="365">
        <f t="shared" si="8"/>
        <v>-0.65922920943187746</v>
      </c>
      <c r="E194" s="362">
        <f t="shared" si="9"/>
        <v>7.5192096591657043E-2</v>
      </c>
      <c r="F194" s="364">
        <v>1.0956983777916995</v>
      </c>
      <c r="G194" s="365">
        <f t="shared" si="11"/>
        <v>-0.65922920892493853</v>
      </c>
      <c r="H194" s="380">
        <f t="shared" si="10"/>
        <v>7.5192096597146207E-2</v>
      </c>
    </row>
    <row r="195" spans="2:8">
      <c r="B195" s="363">
        <v>27729</v>
      </c>
      <c r="C195" s="364">
        <v>1.0177935501356701</v>
      </c>
      <c r="D195" s="365">
        <f t="shared" si="8"/>
        <v>1.6334864726981202</v>
      </c>
      <c r="E195" s="362">
        <f t="shared" si="9"/>
        <v>8.6790393007638134E-2</v>
      </c>
      <c r="F195" s="364">
        <v>1.1135964625744124</v>
      </c>
      <c r="G195" s="365">
        <f t="shared" si="11"/>
        <v>1.6334864726901488</v>
      </c>
      <c r="H195" s="380">
        <f t="shared" si="10"/>
        <v>8.6790393013100431E-2</v>
      </c>
    </row>
    <row r="196" spans="2:8">
      <c r="B196" s="363">
        <v>27760</v>
      </c>
      <c r="C196" s="364">
        <v>0.99887925513054598</v>
      </c>
      <c r="D196" s="365">
        <f t="shared" si="8"/>
        <v>-1.858362631852295</v>
      </c>
      <c r="E196" s="362">
        <f t="shared" si="9"/>
        <v>4.8845947396933154E-2</v>
      </c>
      <c r="F196" s="364">
        <v>1.0929018020444008</v>
      </c>
      <c r="G196" s="365">
        <f t="shared" si="11"/>
        <v>-1.85836263184328</v>
      </c>
      <c r="H196" s="380">
        <f t="shared" si="10"/>
        <v>4.8845947396672029E-2</v>
      </c>
    </row>
    <row r="197" spans="2:8">
      <c r="B197" s="363">
        <v>27791</v>
      </c>
      <c r="C197" s="364">
        <v>1.03261826784751</v>
      </c>
      <c r="D197" s="365">
        <f t="shared" ref="D197:D260" si="12">+((C197/C196)-1)*100</f>
        <v>3.3776867968445812</v>
      </c>
      <c r="E197" s="362">
        <f t="shared" si="9"/>
        <v>6.7089276286674826E-2</v>
      </c>
      <c r="F197" s="364">
        <v>1.1298166019087457</v>
      </c>
      <c r="G197" s="365">
        <f t="shared" si="11"/>
        <v>3.3776867963152268</v>
      </c>
      <c r="H197" s="380">
        <f t="shared" si="10"/>
        <v>6.7089276281035115E-2</v>
      </c>
    </row>
    <row r="198" spans="2:8">
      <c r="B198" s="363">
        <v>27820</v>
      </c>
      <c r="C198" s="364">
        <v>1.0336406621721099</v>
      </c>
      <c r="D198" s="365">
        <f t="shared" si="12"/>
        <v>9.9009900989943667E-2</v>
      </c>
      <c r="E198" s="362">
        <f t="shared" si="9"/>
        <v>0.10010881393416882</v>
      </c>
      <c r="F198" s="364">
        <v>1.1309352322076651</v>
      </c>
      <c r="G198" s="365">
        <f t="shared" si="11"/>
        <v>9.9009900990099098E-2</v>
      </c>
      <c r="H198" s="380">
        <f t="shared" si="10"/>
        <v>0.10010881392818272</v>
      </c>
    </row>
    <row r="199" spans="2:8">
      <c r="B199" s="363">
        <v>27851</v>
      </c>
      <c r="C199" s="364">
        <v>1.0213719302717801</v>
      </c>
      <c r="D199" s="365">
        <f t="shared" si="12"/>
        <v>-1.1869436206725981</v>
      </c>
      <c r="E199" s="362">
        <f t="shared" si="9"/>
        <v>9.7802197796704737E-2</v>
      </c>
      <c r="F199" s="364">
        <v>1.1175116686206308</v>
      </c>
      <c r="G199" s="365">
        <f t="shared" si="11"/>
        <v>-1.1869436201780159</v>
      </c>
      <c r="H199" s="380">
        <f t="shared" si="10"/>
        <v>9.7802197802197677E-2</v>
      </c>
    </row>
    <row r="200" spans="2:8">
      <c r="B200" s="363">
        <v>27881</v>
      </c>
      <c r="C200" s="364">
        <v>1.0177935501356701</v>
      </c>
      <c r="D200" s="365">
        <f t="shared" si="12"/>
        <v>-0.35035035035256845</v>
      </c>
      <c r="E200" s="362">
        <f t="shared" si="9"/>
        <v>5.7355284121384242E-2</v>
      </c>
      <c r="F200" s="364">
        <v>1.1135964625744124</v>
      </c>
      <c r="G200" s="365">
        <f t="shared" si="11"/>
        <v>-0.35035035035034801</v>
      </c>
      <c r="H200" s="380">
        <f t="shared" si="10"/>
        <v>5.7355284121083372E-2</v>
      </c>
    </row>
    <row r="201" spans="2:8">
      <c r="B201" s="363">
        <v>27912</v>
      </c>
      <c r="C201" s="364">
        <v>0.99785686081105696</v>
      </c>
      <c r="D201" s="365">
        <f t="shared" si="12"/>
        <v>-1.9588146655041827</v>
      </c>
      <c r="E201" s="362">
        <f t="shared" si="9"/>
        <v>3.885045237381024E-2</v>
      </c>
      <c r="F201" s="364">
        <v>1.0917831717454811</v>
      </c>
      <c r="G201" s="365">
        <f t="shared" si="11"/>
        <v>-1.9588146659969885</v>
      </c>
      <c r="H201" s="380">
        <f t="shared" si="10"/>
        <v>3.8850452368280886E-2</v>
      </c>
    </row>
    <row r="202" spans="2:8">
      <c r="B202" s="363">
        <v>27942</v>
      </c>
      <c r="C202" s="364">
        <v>0.99683446648645502</v>
      </c>
      <c r="D202" s="365">
        <f t="shared" si="12"/>
        <v>-0.10245901639348576</v>
      </c>
      <c r="E202" s="362">
        <f t="shared" si="9"/>
        <v>4.6698872791446799E-2</v>
      </c>
      <c r="F202" s="364">
        <v>1.0906645414465614</v>
      </c>
      <c r="G202" s="365">
        <f t="shared" si="11"/>
        <v>-0.10245901639345245</v>
      </c>
      <c r="H202" s="380">
        <f t="shared" si="10"/>
        <v>4.6698872785829071E-2</v>
      </c>
    </row>
    <row r="203" spans="2:8">
      <c r="B203" s="363">
        <v>27973</v>
      </c>
      <c r="C203" s="364">
        <v>1.0142151699995701</v>
      </c>
      <c r="D203" s="365">
        <f t="shared" si="12"/>
        <v>1.7435897430770897</v>
      </c>
      <c r="E203" s="362">
        <f t="shared" si="9"/>
        <v>2.2680412365980507E-2</v>
      </c>
      <c r="F203" s="364">
        <v>1.1096812565281939</v>
      </c>
      <c r="G203" s="365">
        <f t="shared" si="11"/>
        <v>1.7435897435897463</v>
      </c>
      <c r="H203" s="380">
        <f t="shared" si="10"/>
        <v>2.2680412371134162E-2</v>
      </c>
    </row>
    <row r="204" spans="2:8">
      <c r="B204" s="363">
        <v>28004</v>
      </c>
      <c r="C204" s="364">
        <v>1.0203495359471799</v>
      </c>
      <c r="D204" s="365">
        <f t="shared" si="12"/>
        <v>0.6048387096805552</v>
      </c>
      <c r="E204" s="362">
        <f t="shared" si="9"/>
        <v>-4.9850448654312762E-3</v>
      </c>
      <c r="F204" s="364">
        <v>1.1163930383217111</v>
      </c>
      <c r="G204" s="365">
        <f t="shared" si="11"/>
        <v>0.60483870967740216</v>
      </c>
      <c r="H204" s="380">
        <f t="shared" si="10"/>
        <v>-4.9850448654037427E-3</v>
      </c>
    </row>
    <row r="205" spans="2:8">
      <c r="B205" s="363">
        <v>28034</v>
      </c>
      <c r="C205" s="364">
        <v>1.01165918418807</v>
      </c>
      <c r="D205" s="365">
        <f t="shared" si="12"/>
        <v>-0.85170340681761658</v>
      </c>
      <c r="E205" s="362">
        <f t="shared" si="9"/>
        <v>3.5496957353009506E-3</v>
      </c>
      <c r="F205" s="364">
        <v>1.106884680780895</v>
      </c>
      <c r="G205" s="365">
        <f t="shared" si="11"/>
        <v>-0.85170340681361978</v>
      </c>
      <c r="H205" s="380">
        <f t="shared" si="10"/>
        <v>3.5496957403651219E-3</v>
      </c>
    </row>
    <row r="206" spans="2:8">
      <c r="B206" s="363">
        <v>28065</v>
      </c>
      <c r="C206" s="364">
        <v>1.0367078451408001</v>
      </c>
      <c r="D206" s="365">
        <f t="shared" si="12"/>
        <v>2.475997978789013</v>
      </c>
      <c r="E206" s="362">
        <f t="shared" si="9"/>
        <v>3.5222052067559684E-2</v>
      </c>
      <c r="F206" s="364">
        <v>1.1342911231044241</v>
      </c>
      <c r="G206" s="365">
        <f t="shared" si="11"/>
        <v>2.475997978777178</v>
      </c>
      <c r="H206" s="380">
        <f t="shared" si="10"/>
        <v>3.5222052067381382E-2</v>
      </c>
    </row>
    <row r="207" spans="2:8">
      <c r="B207" s="363">
        <v>28095</v>
      </c>
      <c r="C207" s="364">
        <v>1.05204376000982</v>
      </c>
      <c r="D207" s="365">
        <f t="shared" si="12"/>
        <v>1.4792899408354598</v>
      </c>
      <c r="E207" s="362">
        <f t="shared" si="9"/>
        <v>3.3651431441655832E-2</v>
      </c>
      <c r="F207" s="364">
        <v>1.1510705775882173</v>
      </c>
      <c r="G207" s="365">
        <f t="shared" si="11"/>
        <v>1.4792899408283988</v>
      </c>
      <c r="H207" s="380">
        <f t="shared" si="10"/>
        <v>3.3651431441486634E-2</v>
      </c>
    </row>
    <row r="208" spans="2:8">
      <c r="B208" s="363">
        <v>28126</v>
      </c>
      <c r="C208" s="364">
        <v>1.0489765770411299</v>
      </c>
      <c r="D208" s="365">
        <f t="shared" si="12"/>
        <v>-0.29154518901965965</v>
      </c>
      <c r="E208" s="362">
        <f t="shared" si="9"/>
        <v>5.0153531223387615E-2</v>
      </c>
      <c r="F208" s="364">
        <v>1.1477146866914585</v>
      </c>
      <c r="G208" s="365">
        <f t="shared" si="11"/>
        <v>-0.29154518950438302</v>
      </c>
      <c r="H208" s="380">
        <f t="shared" si="10"/>
        <v>5.0153531218014136E-2</v>
      </c>
    </row>
    <row r="209" spans="2:8">
      <c r="B209" s="363">
        <v>28157</v>
      </c>
      <c r="C209" s="364">
        <v>1.0755588294756599</v>
      </c>
      <c r="D209" s="365">
        <f t="shared" si="12"/>
        <v>2.5341130599418227</v>
      </c>
      <c r="E209" s="362">
        <f t="shared" ref="E209:E272" si="13">+(C209/C197)-1</f>
        <v>4.1584158410890248E-2</v>
      </c>
      <c r="F209" s="364">
        <v>1.176799074463367</v>
      </c>
      <c r="G209" s="365">
        <f t="shared" si="11"/>
        <v>2.5341130604288553</v>
      </c>
      <c r="H209" s="380">
        <f t="shared" ref="H209:H272" si="14">+(F209/F197)-1</f>
        <v>4.1584158415841843E-2</v>
      </c>
    </row>
    <row r="210" spans="2:8">
      <c r="B210" s="363">
        <v>28185</v>
      </c>
      <c r="C210" s="364">
        <v>1.1394584747632499</v>
      </c>
      <c r="D210" s="365">
        <f t="shared" si="12"/>
        <v>5.9410646388111887</v>
      </c>
      <c r="E210" s="362">
        <f t="shared" si="13"/>
        <v>0.10237388723540786</v>
      </c>
      <c r="F210" s="364">
        <v>1.2467134681458389</v>
      </c>
      <c r="G210" s="365">
        <f t="shared" si="11"/>
        <v>5.9410646387832777</v>
      </c>
      <c r="H210" s="380">
        <f t="shared" si="14"/>
        <v>0.10237388724035634</v>
      </c>
    </row>
    <row r="211" spans="2:8">
      <c r="B211" s="363">
        <v>28216</v>
      </c>
      <c r="C211" s="364">
        <v>1.11032023651722</v>
      </c>
      <c r="D211" s="365">
        <f t="shared" si="12"/>
        <v>-2.5572005379207896</v>
      </c>
      <c r="E211" s="362">
        <f t="shared" si="13"/>
        <v>8.7087087092525994E-2</v>
      </c>
      <c r="F211" s="364">
        <v>1.2148325046266315</v>
      </c>
      <c r="G211" s="365">
        <f t="shared" si="11"/>
        <v>-2.5572005383580287</v>
      </c>
      <c r="H211" s="380">
        <f t="shared" si="14"/>
        <v>8.7087087087087012E-2</v>
      </c>
    </row>
    <row r="212" spans="2:8">
      <c r="B212" s="363">
        <v>28246</v>
      </c>
      <c r="C212" s="364">
        <v>1.1133874194859099</v>
      </c>
      <c r="D212" s="365">
        <f t="shared" si="12"/>
        <v>0.27624309346201414</v>
      </c>
      <c r="E212" s="362">
        <f t="shared" si="13"/>
        <v>9.392265193417404E-2</v>
      </c>
      <c r="F212" s="364">
        <v>1.2181883955233903</v>
      </c>
      <c r="G212" s="365">
        <f t="shared" si="11"/>
        <v>0.27624309392266788</v>
      </c>
      <c r="H212" s="380">
        <f t="shared" si="14"/>
        <v>9.3922651933701751E-2</v>
      </c>
    </row>
    <row r="213" spans="2:8">
      <c r="B213" s="363">
        <v>28277</v>
      </c>
      <c r="C213" s="364">
        <v>1.12207777125014</v>
      </c>
      <c r="D213" s="365">
        <f t="shared" si="12"/>
        <v>0.78053259917763018</v>
      </c>
      <c r="E213" s="362">
        <f t="shared" si="13"/>
        <v>0.1244877049180344</v>
      </c>
      <c r="F213" s="364">
        <v>1.2276967530642064</v>
      </c>
      <c r="G213" s="365">
        <f t="shared" si="11"/>
        <v>0.78053259871442293</v>
      </c>
      <c r="H213" s="380">
        <f t="shared" si="14"/>
        <v>0.12448770491803285</v>
      </c>
    </row>
    <row r="214" spans="2:8">
      <c r="B214" s="363">
        <v>28307</v>
      </c>
      <c r="C214" s="364">
        <v>1.1210553769204199</v>
      </c>
      <c r="D214" s="365">
        <f t="shared" si="12"/>
        <v>-9.1116173576899495E-2</v>
      </c>
      <c r="E214" s="362">
        <f t="shared" si="13"/>
        <v>0.12461538461025201</v>
      </c>
      <c r="F214" s="364">
        <v>1.226578122765287</v>
      </c>
      <c r="G214" s="365">
        <f t="shared" si="11"/>
        <v>-9.1116173120719957E-2</v>
      </c>
      <c r="H214" s="380">
        <f t="shared" si="14"/>
        <v>0.12461538461538479</v>
      </c>
    </row>
    <row r="215" spans="2:8">
      <c r="B215" s="363">
        <v>28338</v>
      </c>
      <c r="C215" s="364">
        <v>1.10878664502521</v>
      </c>
      <c r="D215" s="365">
        <f t="shared" si="12"/>
        <v>-1.0943912448743265</v>
      </c>
      <c r="E215" s="362">
        <f t="shared" si="13"/>
        <v>9.3245967742407121E-2</v>
      </c>
      <c r="F215" s="364">
        <v>1.2131545591782524</v>
      </c>
      <c r="G215" s="365">
        <f t="shared" si="11"/>
        <v>-1.094391244870041</v>
      </c>
      <c r="H215" s="380">
        <f t="shared" si="14"/>
        <v>9.3245967741935498E-2</v>
      </c>
    </row>
    <row r="216" spans="2:8">
      <c r="B216" s="363">
        <v>28369</v>
      </c>
      <c r="C216" s="364">
        <v>1.1174769967843201</v>
      </c>
      <c r="D216" s="365">
        <f t="shared" si="12"/>
        <v>0.78377132319378262</v>
      </c>
      <c r="E216" s="362">
        <f t="shared" si="13"/>
        <v>9.5190380761998261E-2</v>
      </c>
      <c r="F216" s="364">
        <v>1.2226629167190686</v>
      </c>
      <c r="G216" s="365">
        <f t="shared" si="11"/>
        <v>0.78377132319040754</v>
      </c>
      <c r="H216" s="380">
        <f t="shared" si="14"/>
        <v>9.5190380761523308E-2</v>
      </c>
    </row>
    <row r="217" spans="2:8">
      <c r="B217" s="363">
        <v>28399</v>
      </c>
      <c r="C217" s="364">
        <v>1.1307681230092499</v>
      </c>
      <c r="D217" s="365">
        <f t="shared" si="12"/>
        <v>1.1893870086969738</v>
      </c>
      <c r="E217" s="362">
        <f t="shared" si="13"/>
        <v>0.11773623042504533</v>
      </c>
      <c r="F217" s="364">
        <v>1.2372051106050226</v>
      </c>
      <c r="G217" s="365">
        <f t="shared" si="11"/>
        <v>1.1893870082342106</v>
      </c>
      <c r="H217" s="380">
        <f t="shared" si="14"/>
        <v>0.11773623041940384</v>
      </c>
    </row>
    <row r="218" spans="2:8">
      <c r="B218" s="363">
        <v>28430</v>
      </c>
      <c r="C218" s="364">
        <v>1.1404808690878501</v>
      </c>
      <c r="D218" s="365">
        <f t="shared" si="12"/>
        <v>0.85895117495460305</v>
      </c>
      <c r="E218" s="362">
        <f t="shared" si="13"/>
        <v>0.10009861932988096</v>
      </c>
      <c r="F218" s="364">
        <v>1.2478320984447584</v>
      </c>
      <c r="G218" s="365">
        <f t="shared" si="11"/>
        <v>0.8589511754068857</v>
      </c>
      <c r="H218" s="380">
        <f t="shared" si="14"/>
        <v>0.10009861932938846</v>
      </c>
    </row>
    <row r="219" spans="2:8">
      <c r="B219" s="363">
        <v>28460</v>
      </c>
      <c r="C219" s="364">
        <v>1.1507048123338699</v>
      </c>
      <c r="D219" s="365">
        <f t="shared" si="12"/>
        <v>0.89645898700578819</v>
      </c>
      <c r="E219" s="362">
        <f t="shared" si="13"/>
        <v>9.3780369291035059E-2</v>
      </c>
      <c r="F219" s="364">
        <v>1.2590184014339538</v>
      </c>
      <c r="G219" s="365">
        <f t="shared" si="11"/>
        <v>0.8964589870013473</v>
      </c>
      <c r="H219" s="380">
        <f t="shared" si="14"/>
        <v>9.3780369290573207E-2</v>
      </c>
    </row>
    <row r="220" spans="2:8">
      <c r="B220" s="363">
        <v>28491</v>
      </c>
      <c r="C220" s="364">
        <v>1.1573503754437799</v>
      </c>
      <c r="D220" s="365">
        <f t="shared" si="12"/>
        <v>0.5775211017351678</v>
      </c>
      <c r="E220" s="362">
        <f t="shared" si="13"/>
        <v>0.10331384015107581</v>
      </c>
      <c r="F220" s="364">
        <v>1.2662894983769311</v>
      </c>
      <c r="G220" s="365">
        <f t="shared" si="11"/>
        <v>0.57752110173256987</v>
      </c>
      <c r="H220" s="380">
        <f t="shared" si="14"/>
        <v>0.10331384015594569</v>
      </c>
    </row>
    <row r="221" spans="2:8">
      <c r="B221" s="363">
        <v>28522</v>
      </c>
      <c r="C221" s="364">
        <v>1.18648861369492</v>
      </c>
      <c r="D221" s="365">
        <f t="shared" si="12"/>
        <v>2.5176678445338663</v>
      </c>
      <c r="E221" s="362">
        <f t="shared" si="13"/>
        <v>0.10313688212976579</v>
      </c>
      <c r="F221" s="364">
        <v>1.2981704618961381</v>
      </c>
      <c r="G221" s="365">
        <f t="shared" si="11"/>
        <v>2.5176678445229639</v>
      </c>
      <c r="H221" s="380">
        <f t="shared" si="14"/>
        <v>0.10313688212927752</v>
      </c>
    </row>
    <row r="222" spans="2:8">
      <c r="B222" s="363">
        <v>28550</v>
      </c>
      <c r="C222" s="364">
        <v>1.18291023355882</v>
      </c>
      <c r="D222" s="365">
        <f t="shared" si="12"/>
        <v>-0.30159414045756172</v>
      </c>
      <c r="E222" s="362">
        <f t="shared" si="13"/>
        <v>3.8133692238849104E-2</v>
      </c>
      <c r="F222" s="364">
        <v>1.2942552558499199</v>
      </c>
      <c r="G222" s="365">
        <f t="shared" si="11"/>
        <v>-0.30159414045668465</v>
      </c>
      <c r="H222" s="380">
        <f t="shared" si="14"/>
        <v>3.8133692238672134E-2</v>
      </c>
    </row>
    <row r="223" spans="2:8">
      <c r="B223" s="363">
        <v>28581</v>
      </c>
      <c r="C223" s="364">
        <v>1.17677586761632</v>
      </c>
      <c r="D223" s="365">
        <f t="shared" si="12"/>
        <v>-0.51858254062479014</v>
      </c>
      <c r="E223" s="362">
        <f t="shared" si="13"/>
        <v>5.9852670349910708E-2</v>
      </c>
      <c r="F223" s="364">
        <v>1.2875434740564022</v>
      </c>
      <c r="G223" s="365">
        <f t="shared" si="11"/>
        <v>-0.51858254105447976</v>
      </c>
      <c r="H223" s="380">
        <f t="shared" si="14"/>
        <v>5.9852670349907822E-2</v>
      </c>
    </row>
    <row r="224" spans="2:8">
      <c r="B224" s="363">
        <v>28611</v>
      </c>
      <c r="C224" s="364">
        <v>1.19211178248534</v>
      </c>
      <c r="D224" s="365">
        <f t="shared" si="12"/>
        <v>1.3032145960032659</v>
      </c>
      <c r="E224" s="362">
        <f t="shared" si="13"/>
        <v>7.0707070711989894E-2</v>
      </c>
      <c r="F224" s="364">
        <v>1.3043229285401954</v>
      </c>
      <c r="G224" s="365">
        <f t="shared" si="11"/>
        <v>1.3032145960034658</v>
      </c>
      <c r="H224" s="380">
        <f t="shared" si="14"/>
        <v>7.0707070707070496E-2</v>
      </c>
    </row>
    <row r="225" spans="2:8">
      <c r="B225" s="363">
        <v>28642</v>
      </c>
      <c r="C225" s="364">
        <v>1.2135820632968599</v>
      </c>
      <c r="D225" s="365">
        <f t="shared" si="12"/>
        <v>1.80102915909095</v>
      </c>
      <c r="E225" s="362">
        <f t="shared" si="13"/>
        <v>8.1548974938495E-2</v>
      </c>
      <c r="F225" s="364">
        <v>1.3278141648175064</v>
      </c>
      <c r="G225" s="365">
        <f t="shared" si="11"/>
        <v>1.8010291595197625</v>
      </c>
      <c r="H225" s="380">
        <f t="shared" si="14"/>
        <v>8.1548974943052466E-2</v>
      </c>
    </row>
    <row r="226" spans="2:8">
      <c r="B226" s="363">
        <v>28672</v>
      </c>
      <c r="C226" s="364">
        <v>1.21971642924447</v>
      </c>
      <c r="D226" s="365">
        <f t="shared" si="12"/>
        <v>0.50547598989270082</v>
      </c>
      <c r="E226" s="362">
        <f t="shared" si="13"/>
        <v>8.8007295942039487E-2</v>
      </c>
      <c r="F226" s="364">
        <v>1.3345259466110235</v>
      </c>
      <c r="G226" s="365">
        <f t="shared" si="11"/>
        <v>0.50547598989048037</v>
      </c>
      <c r="H226" s="380">
        <f t="shared" si="14"/>
        <v>8.800729594163248E-2</v>
      </c>
    </row>
    <row r="227" spans="2:8">
      <c r="B227" s="363">
        <v>28703</v>
      </c>
      <c r="C227" s="364">
        <v>1.2319851611448001</v>
      </c>
      <c r="D227" s="365">
        <f t="shared" si="12"/>
        <v>1.0058675611944956</v>
      </c>
      <c r="E227" s="362">
        <f t="shared" si="13"/>
        <v>0.11111111111623195</v>
      </c>
      <c r="F227" s="364">
        <v>1.3479495101980583</v>
      </c>
      <c r="G227" s="365">
        <f t="shared" si="11"/>
        <v>1.0058675607711676</v>
      </c>
      <c r="H227" s="380">
        <f t="shared" si="14"/>
        <v>0.11111111111111116</v>
      </c>
    </row>
    <row r="228" spans="2:8">
      <c r="B228" s="363">
        <v>28734</v>
      </c>
      <c r="C228" s="364">
        <v>1.2744145256106501</v>
      </c>
      <c r="D228" s="365">
        <f t="shared" si="12"/>
        <v>3.4439834020746796</v>
      </c>
      <c r="E228" s="362">
        <f t="shared" si="13"/>
        <v>0.1404391582806066</v>
      </c>
      <c r="F228" s="364">
        <v>1.3943726676032195</v>
      </c>
      <c r="G228" s="365">
        <f t="shared" si="11"/>
        <v>3.4439834024896143</v>
      </c>
      <c r="H228" s="380">
        <f t="shared" si="14"/>
        <v>0.14043915827996334</v>
      </c>
    </row>
    <row r="229" spans="2:8">
      <c r="B229" s="363">
        <v>28764</v>
      </c>
      <c r="C229" s="364">
        <v>1.2953736092649799</v>
      </c>
      <c r="D229" s="365">
        <f t="shared" si="12"/>
        <v>1.6446048937089008</v>
      </c>
      <c r="E229" s="362">
        <f t="shared" si="13"/>
        <v>0.14556962024864539</v>
      </c>
      <c r="F229" s="364">
        <v>1.4173045887310702</v>
      </c>
      <c r="G229" s="365">
        <f t="shared" si="11"/>
        <v>1.6446048937023505</v>
      </c>
      <c r="H229" s="380">
        <f t="shared" si="14"/>
        <v>0.14556962025316467</v>
      </c>
    </row>
    <row r="230" spans="2:8">
      <c r="B230" s="363">
        <v>28795</v>
      </c>
      <c r="C230" s="364">
        <v>1.33013501630654</v>
      </c>
      <c r="D230" s="365">
        <f t="shared" si="12"/>
        <v>2.683504341367926</v>
      </c>
      <c r="E230" s="362">
        <f t="shared" si="13"/>
        <v>0.16629314209397839</v>
      </c>
      <c r="F230" s="364">
        <v>1.4553380188943348</v>
      </c>
      <c r="G230" s="365">
        <f t="shared" si="11"/>
        <v>2.6835043409628945</v>
      </c>
      <c r="H230" s="380">
        <f t="shared" si="14"/>
        <v>0.16629314208874924</v>
      </c>
    </row>
    <row r="231" spans="2:8">
      <c r="B231" s="363">
        <v>28825</v>
      </c>
      <c r="C231" s="364">
        <v>1.34444853685096</v>
      </c>
      <c r="D231" s="365">
        <f t="shared" si="12"/>
        <v>1.0760953112989302</v>
      </c>
      <c r="E231" s="362">
        <f t="shared" si="13"/>
        <v>0.168369613510295</v>
      </c>
      <c r="F231" s="364">
        <v>1.4709988430792085</v>
      </c>
      <c r="G231" s="365">
        <f t="shared" si="11"/>
        <v>1.0760953112989968</v>
      </c>
      <c r="H231" s="380">
        <f t="shared" si="14"/>
        <v>0.16836961350510871</v>
      </c>
    </row>
    <row r="232" spans="2:8">
      <c r="B232" s="363">
        <v>28856</v>
      </c>
      <c r="C232" s="364">
        <v>1.3608068460445899</v>
      </c>
      <c r="D232" s="365">
        <f t="shared" si="12"/>
        <v>1.2167300380232726</v>
      </c>
      <c r="E232" s="362">
        <f t="shared" si="13"/>
        <v>0.17579505300872755</v>
      </c>
      <c r="F232" s="364">
        <v>1.4888969278619215</v>
      </c>
      <c r="G232" s="365">
        <f t="shared" si="11"/>
        <v>1.2167300380228285</v>
      </c>
      <c r="H232" s="380">
        <f t="shared" si="14"/>
        <v>0.17579505300353349</v>
      </c>
    </row>
    <row r="233" spans="2:8">
      <c r="B233" s="363">
        <v>28887</v>
      </c>
      <c r="C233" s="364">
        <v>1.4548671239028099</v>
      </c>
      <c r="D233" s="365">
        <f t="shared" si="12"/>
        <v>6.9120961679184578</v>
      </c>
      <c r="E233" s="362">
        <f t="shared" si="13"/>
        <v>0.2261956053434977</v>
      </c>
      <c r="F233" s="364">
        <v>1.5918109153625202</v>
      </c>
      <c r="G233" s="365">
        <f t="shared" si="11"/>
        <v>6.9120961682945126</v>
      </c>
      <c r="H233" s="380">
        <f t="shared" si="14"/>
        <v>0.22619560534252492</v>
      </c>
    </row>
    <row r="234" spans="2:8">
      <c r="B234" s="363">
        <v>28915</v>
      </c>
      <c r="C234" s="364">
        <v>1.45333353241591</v>
      </c>
      <c r="D234" s="365">
        <f t="shared" si="12"/>
        <v>-0.10541110330308801</v>
      </c>
      <c r="E234" s="362">
        <f t="shared" si="13"/>
        <v>0.22860847018248687</v>
      </c>
      <c r="F234" s="364">
        <v>1.5901329699141407</v>
      </c>
      <c r="G234" s="365">
        <f t="shared" si="11"/>
        <v>-0.10541110330288816</v>
      </c>
      <c r="H234" s="380">
        <f t="shared" si="14"/>
        <v>0.22860847018150365</v>
      </c>
    </row>
    <row r="235" spans="2:8">
      <c r="B235" s="363">
        <v>28946</v>
      </c>
      <c r="C235" s="364">
        <v>1.41192656227466</v>
      </c>
      <c r="D235" s="365">
        <f t="shared" si="12"/>
        <v>-2.849103059806124</v>
      </c>
      <c r="E235" s="362">
        <f t="shared" si="13"/>
        <v>0.1998262380538629</v>
      </c>
      <c r="F235" s="364">
        <v>1.5448284428078991</v>
      </c>
      <c r="G235" s="365">
        <f t="shared" si="11"/>
        <v>-2.8491030601477174</v>
      </c>
      <c r="H235" s="380">
        <f t="shared" si="14"/>
        <v>0.19982623805386646</v>
      </c>
    </row>
    <row r="236" spans="2:8">
      <c r="B236" s="363">
        <v>28976</v>
      </c>
      <c r="C236" s="364">
        <v>1.4364640260651</v>
      </c>
      <c r="D236" s="365">
        <f t="shared" si="12"/>
        <v>1.7378711078931408</v>
      </c>
      <c r="E236" s="362">
        <f t="shared" si="13"/>
        <v>0.20497427101200971</v>
      </c>
      <c r="F236" s="364">
        <v>1.5716755699819682</v>
      </c>
      <c r="G236" s="365">
        <f t="shared" si="11"/>
        <v>1.7378711078928299</v>
      </c>
      <c r="H236" s="380">
        <f t="shared" si="14"/>
        <v>0.20497427101200705</v>
      </c>
    </row>
    <row r="237" spans="2:8">
      <c r="B237" s="363">
        <v>29007</v>
      </c>
      <c r="C237" s="364">
        <v>1.5438154301482501</v>
      </c>
      <c r="D237" s="365">
        <f t="shared" si="12"/>
        <v>7.473309608540446</v>
      </c>
      <c r="E237" s="362">
        <f t="shared" si="13"/>
        <v>0.27211457456306376</v>
      </c>
      <c r="F237" s="364">
        <v>1.6891317513685211</v>
      </c>
      <c r="G237" s="365">
        <f t="shared" si="11"/>
        <v>7.4733096085409345</v>
      </c>
      <c r="H237" s="380">
        <f t="shared" si="14"/>
        <v>0.27211457455770849</v>
      </c>
    </row>
    <row r="238" spans="2:8">
      <c r="B238" s="363">
        <v>29037</v>
      </c>
      <c r="C238" s="364">
        <v>1.5862447946141001</v>
      </c>
      <c r="D238" s="365">
        <f t="shared" si="12"/>
        <v>2.7483443705298205</v>
      </c>
      <c r="E238" s="362">
        <f t="shared" si="13"/>
        <v>0.3005029337816405</v>
      </c>
      <c r="F238" s="364">
        <v>1.7355549087736823</v>
      </c>
      <c r="G238" s="365">
        <f t="shared" si="11"/>
        <v>2.7483443708609112</v>
      </c>
      <c r="H238" s="380">
        <f t="shared" si="14"/>
        <v>0.30050293378038551</v>
      </c>
    </row>
    <row r="239" spans="2:8">
      <c r="B239" s="363">
        <v>29068</v>
      </c>
      <c r="C239" s="364">
        <v>1.6767266923464501</v>
      </c>
      <c r="D239" s="365">
        <f t="shared" si="12"/>
        <v>5.7041572675018637</v>
      </c>
      <c r="E239" s="362">
        <f t="shared" si="13"/>
        <v>0.36099585062240691</v>
      </c>
      <c r="F239" s="364">
        <v>1.8345536902280626</v>
      </c>
      <c r="G239" s="365">
        <f t="shared" si="11"/>
        <v>5.7041572671608032</v>
      </c>
      <c r="H239" s="380">
        <f t="shared" si="14"/>
        <v>0.36099585062240647</v>
      </c>
    </row>
    <row r="240" spans="2:8">
      <c r="B240" s="363">
        <v>29099</v>
      </c>
      <c r="C240" s="364">
        <v>1.70637612775478</v>
      </c>
      <c r="D240" s="365">
        <f t="shared" si="12"/>
        <v>1.7682926826218637</v>
      </c>
      <c r="E240" s="362">
        <f t="shared" si="13"/>
        <v>0.33894905736196845</v>
      </c>
      <c r="F240" s="364">
        <v>1.8669939688967296</v>
      </c>
      <c r="G240" s="365">
        <f t="shared" si="11"/>
        <v>1.7682926829268419</v>
      </c>
      <c r="H240" s="380">
        <f t="shared" si="14"/>
        <v>0.33894905736060976</v>
      </c>
    </row>
    <row r="241" spans="2:8">
      <c r="B241" s="363">
        <v>29129</v>
      </c>
      <c r="C241" s="364">
        <v>1.73040239438803</v>
      </c>
      <c r="D241" s="365">
        <f t="shared" si="12"/>
        <v>1.4080287600403363</v>
      </c>
      <c r="E241" s="362">
        <f t="shared" si="13"/>
        <v>0.33583267561695496</v>
      </c>
      <c r="F241" s="364">
        <v>1.8938410960707985</v>
      </c>
      <c r="G241" s="365">
        <f t="shared" si="11"/>
        <v>1.4379868184541511</v>
      </c>
      <c r="H241" s="380">
        <f t="shared" si="14"/>
        <v>0.33622730860299921</v>
      </c>
    </row>
    <row r="242" spans="2:8">
      <c r="B242" s="363">
        <v>29160</v>
      </c>
      <c r="C242" s="364">
        <v>1.78919006805261</v>
      </c>
      <c r="D242" s="365">
        <f t="shared" si="12"/>
        <v>3.3973412112256574</v>
      </c>
      <c r="E242" s="362">
        <f t="shared" si="13"/>
        <v>0.34511913912375136</v>
      </c>
      <c r="F242" s="364">
        <v>1.957603023109213</v>
      </c>
      <c r="G242" s="365">
        <f t="shared" si="11"/>
        <v>3.3668044890726501</v>
      </c>
      <c r="H242" s="380">
        <f t="shared" si="14"/>
        <v>0.34511913912375114</v>
      </c>
    </row>
    <row r="243" spans="2:8">
      <c r="B243" s="363">
        <v>29190</v>
      </c>
      <c r="C243" s="364">
        <v>1.82446267224625</v>
      </c>
      <c r="D243" s="365">
        <f t="shared" si="12"/>
        <v>1.9714285711428747</v>
      </c>
      <c r="E243" s="362">
        <f t="shared" si="13"/>
        <v>0.35703422052851885</v>
      </c>
      <c r="F243" s="364">
        <v>1.9961957684219374</v>
      </c>
      <c r="G243" s="365">
        <f t="shared" si="11"/>
        <v>1.9714285714285573</v>
      </c>
      <c r="H243" s="380">
        <f t="shared" si="14"/>
        <v>0.35703422053231937</v>
      </c>
    </row>
    <row r="244" spans="2:8">
      <c r="B244" s="363">
        <v>29221</v>
      </c>
      <c r="C244" s="364">
        <v>1.82088429211015</v>
      </c>
      <c r="D244" s="365">
        <f t="shared" si="12"/>
        <v>-0.19613337069233072</v>
      </c>
      <c r="E244" s="362">
        <f t="shared" si="13"/>
        <v>0.33809166040195282</v>
      </c>
      <c r="F244" s="364">
        <v>1.9464908170278363</v>
      </c>
      <c r="G244" s="365">
        <f t="shared" si="11"/>
        <v>-2.4899838072191982</v>
      </c>
      <c r="H244" s="380">
        <f t="shared" si="14"/>
        <v>0.30733751987991975</v>
      </c>
    </row>
    <row r="245" spans="2:8">
      <c r="B245" s="363">
        <v>29252</v>
      </c>
      <c r="C245" s="364">
        <v>1.8633136565862201</v>
      </c>
      <c r="D245" s="365">
        <f t="shared" si="12"/>
        <v>2.3301516005116651</v>
      </c>
      <c r="E245" s="362">
        <f t="shared" si="13"/>
        <v>0.28074490513450878</v>
      </c>
      <c r="F245" s="364">
        <v>1.9676713482250927</v>
      </c>
      <c r="G245" s="365">
        <f t="shared" ref="G245:G308" si="15">+((F245/F244)-1)*100</f>
        <v>1.0881392818280933</v>
      </c>
      <c r="H245" s="380">
        <f t="shared" si="14"/>
        <v>0.23612128126221177</v>
      </c>
    </row>
    <row r="246" spans="2:8">
      <c r="B246" s="363">
        <v>29281</v>
      </c>
      <c r="C246" s="364">
        <v>1.8648472480680101</v>
      </c>
      <c r="D246" s="365">
        <f t="shared" si="12"/>
        <v>8.2304526474619166E-2</v>
      </c>
      <c r="E246" s="362">
        <f t="shared" si="13"/>
        <v>0.28315160042308474</v>
      </c>
      <c r="F246" s="364">
        <v>1.9867338263026231</v>
      </c>
      <c r="G246" s="365">
        <f t="shared" si="15"/>
        <v>0.9687836383207582</v>
      </c>
      <c r="H246" s="380">
        <f t="shared" si="14"/>
        <v>0.24941364269045807</v>
      </c>
    </row>
    <row r="247" spans="2:8">
      <c r="B247" s="363">
        <v>29312</v>
      </c>
      <c r="C247" s="364">
        <v>1.8893847118584499</v>
      </c>
      <c r="D247" s="365">
        <f t="shared" si="12"/>
        <v>1.3157894736880449</v>
      </c>
      <c r="E247" s="362">
        <f t="shared" si="13"/>
        <v>0.33816075307386328</v>
      </c>
      <c r="F247" s="364">
        <v>2.0142685168590559</v>
      </c>
      <c r="G247" s="365">
        <f t="shared" si="15"/>
        <v>1.3859275053304865</v>
      </c>
      <c r="H247" s="380">
        <f t="shared" si="14"/>
        <v>0.30387845086403042</v>
      </c>
    </row>
    <row r="248" spans="2:8">
      <c r="B248" s="363">
        <v>29342</v>
      </c>
      <c r="C248" s="364">
        <v>1.9205677387587901</v>
      </c>
      <c r="D248" s="365">
        <f t="shared" si="12"/>
        <v>1.650432900437071</v>
      </c>
      <c r="E248" s="362">
        <f t="shared" si="13"/>
        <v>0.33701067615302094</v>
      </c>
      <c r="F248" s="364">
        <v>2.0989906416480801</v>
      </c>
      <c r="G248" s="365">
        <f t="shared" si="15"/>
        <v>4.2060988433228141</v>
      </c>
      <c r="H248" s="380">
        <f t="shared" si="14"/>
        <v>0.33551140053170236</v>
      </c>
    </row>
    <row r="249" spans="2:8">
      <c r="B249" s="363">
        <v>29373</v>
      </c>
      <c r="C249" s="364">
        <v>1.9491947798476299</v>
      </c>
      <c r="D249" s="365">
        <f t="shared" si="12"/>
        <v>1.4905509715237075</v>
      </c>
      <c r="E249" s="362">
        <f t="shared" si="13"/>
        <v>0.262582781453643</v>
      </c>
      <c r="F249" s="364">
        <v>2.1180531197256109</v>
      </c>
      <c r="G249" s="365">
        <f t="shared" si="15"/>
        <v>0.90817356205854516</v>
      </c>
      <c r="H249" s="380">
        <f t="shared" si="14"/>
        <v>0.25393008450026544</v>
      </c>
    </row>
    <row r="250" spans="2:8">
      <c r="B250" s="363">
        <v>29403</v>
      </c>
      <c r="C250" s="364">
        <v>1.97015386350196</v>
      </c>
      <c r="D250" s="365">
        <f t="shared" si="12"/>
        <v>1.0752688172070979</v>
      </c>
      <c r="E250" s="362">
        <f t="shared" si="13"/>
        <v>0.24202384788991971</v>
      </c>
      <c r="F250" s="364">
        <v>2.1498239165214952</v>
      </c>
      <c r="G250" s="365">
        <f t="shared" si="15"/>
        <v>1.5000000000000124</v>
      </c>
      <c r="H250" s="380">
        <f t="shared" si="14"/>
        <v>0.23869541992222487</v>
      </c>
    </row>
    <row r="251" spans="2:8">
      <c r="B251" s="363">
        <v>29434</v>
      </c>
      <c r="C251" s="364">
        <v>1.98395618688408</v>
      </c>
      <c r="D251" s="365">
        <f t="shared" si="12"/>
        <v>0.70057083549739385</v>
      </c>
      <c r="E251" s="362">
        <f t="shared" si="13"/>
        <v>0.18323170731402016</v>
      </c>
      <c r="F251" s="364">
        <v>2.1710044477187513</v>
      </c>
      <c r="G251" s="365">
        <f t="shared" si="15"/>
        <v>0.98522167487684609</v>
      </c>
      <c r="H251" s="380">
        <f t="shared" si="14"/>
        <v>0.18339651724712569</v>
      </c>
    </row>
    <row r="252" spans="2:8">
      <c r="B252" s="363">
        <v>29465</v>
      </c>
      <c r="C252" s="364">
        <v>1.9870233698578901</v>
      </c>
      <c r="D252" s="365">
        <f t="shared" si="12"/>
        <v>0.15459933007024862</v>
      </c>
      <c r="E252" s="362">
        <f t="shared" si="13"/>
        <v>0.16446974236118783</v>
      </c>
      <c r="F252" s="364">
        <v>2.1900669257962817</v>
      </c>
      <c r="G252" s="365">
        <f t="shared" si="15"/>
        <v>0.87804878048780566</v>
      </c>
      <c r="H252" s="380">
        <f t="shared" si="14"/>
        <v>0.1730444566408893</v>
      </c>
    </row>
    <row r="253" spans="2:8">
      <c r="B253" s="363">
        <v>29495</v>
      </c>
      <c r="C253" s="364">
        <v>2.01820639675823</v>
      </c>
      <c r="D253" s="365">
        <f t="shared" si="12"/>
        <v>1.5693336763608512</v>
      </c>
      <c r="E253" s="362">
        <f t="shared" si="13"/>
        <v>0.16632200885966997</v>
      </c>
      <c r="F253" s="364">
        <v>2.2133655101132632</v>
      </c>
      <c r="G253" s="365">
        <f t="shared" si="15"/>
        <v>1.0638297872340274</v>
      </c>
      <c r="H253" s="380">
        <f t="shared" si="14"/>
        <v>0.16871764727536553</v>
      </c>
    </row>
    <row r="254" spans="2:8">
      <c r="B254" s="363">
        <v>29526</v>
      </c>
      <c r="C254" s="364">
        <v>1.98037780674798</v>
      </c>
      <c r="D254" s="365">
        <f t="shared" si="12"/>
        <v>-1.8743667679882781</v>
      </c>
      <c r="E254" s="362">
        <f t="shared" si="13"/>
        <v>0.10685714285428749</v>
      </c>
      <c r="F254" s="364">
        <v>2.268434891226129</v>
      </c>
      <c r="G254" s="365">
        <f t="shared" si="15"/>
        <v>2.4880382775119614</v>
      </c>
      <c r="H254" s="380">
        <f t="shared" si="14"/>
        <v>0.15878186968838515</v>
      </c>
    </row>
    <row r="255" spans="2:8">
      <c r="B255" s="363">
        <v>29556</v>
      </c>
      <c r="C255" s="364">
        <v>1.9860009755384</v>
      </c>
      <c r="D255" s="365">
        <f t="shared" si="12"/>
        <v>0.2839442439346529</v>
      </c>
      <c r="E255" s="362">
        <f t="shared" si="13"/>
        <v>8.8540207344043109E-2</v>
      </c>
      <c r="F255" s="364">
        <v>2.2959695817825621</v>
      </c>
      <c r="G255" s="365">
        <f t="shared" si="15"/>
        <v>1.2138188608777023</v>
      </c>
      <c r="H255" s="380">
        <f t="shared" si="14"/>
        <v>0.15017255226305104</v>
      </c>
    </row>
    <row r="256" spans="2:8">
      <c r="B256" s="363">
        <v>29587</v>
      </c>
      <c r="C256" s="364">
        <v>2.08875160515574</v>
      </c>
      <c r="D256" s="365">
        <f t="shared" si="12"/>
        <v>5.1737451734878759</v>
      </c>
      <c r="E256" s="362">
        <f t="shared" si="13"/>
        <v>0.14710836608688038</v>
      </c>
      <c r="F256" s="364">
        <v>2.3065598473811906</v>
      </c>
      <c r="G256" s="365">
        <f t="shared" si="15"/>
        <v>0.46125461254613587</v>
      </c>
      <c r="H256" s="380">
        <f t="shared" si="14"/>
        <v>0.18498367791077275</v>
      </c>
    </row>
    <row r="257" spans="2:8">
      <c r="B257" s="363">
        <v>29618</v>
      </c>
      <c r="C257" s="364">
        <v>2.1920134319404898</v>
      </c>
      <c r="D257" s="365">
        <f t="shared" si="12"/>
        <v>4.9437102300659008</v>
      </c>
      <c r="E257" s="362">
        <f t="shared" si="13"/>
        <v>0.17640603566255253</v>
      </c>
      <c r="F257" s="364">
        <v>2.3870458659307632</v>
      </c>
      <c r="G257" s="365">
        <f t="shared" si="15"/>
        <v>3.4894398530761928</v>
      </c>
      <c r="H257" s="380">
        <f t="shared" si="14"/>
        <v>0.21313240043057013</v>
      </c>
    </row>
    <row r="258" spans="2:8">
      <c r="B258" s="363">
        <v>29646</v>
      </c>
      <c r="C258" s="364">
        <v>2.1674759681551601</v>
      </c>
      <c r="D258" s="365">
        <f t="shared" si="12"/>
        <v>-1.1194029848442977</v>
      </c>
      <c r="E258" s="362">
        <f t="shared" si="13"/>
        <v>0.16228070175757003</v>
      </c>
      <c r="F258" s="364">
        <v>2.3934000252899401</v>
      </c>
      <c r="G258" s="365">
        <f t="shared" si="15"/>
        <v>0.26619343389531203</v>
      </c>
      <c r="H258" s="380">
        <f t="shared" si="14"/>
        <v>0.20469083155650303</v>
      </c>
    </row>
    <row r="259" spans="2:8">
      <c r="B259" s="363">
        <v>29677</v>
      </c>
      <c r="C259" s="364">
        <v>2.1853678688356899</v>
      </c>
      <c r="D259" s="365">
        <f t="shared" si="12"/>
        <v>0.82547169811337806</v>
      </c>
      <c r="E259" s="362">
        <f t="shared" si="13"/>
        <v>0.15665584415897116</v>
      </c>
      <c r="F259" s="364">
        <v>2.4061083440082935</v>
      </c>
      <c r="G259" s="365">
        <f t="shared" si="15"/>
        <v>0.53097345132742113</v>
      </c>
      <c r="H259" s="380">
        <f t="shared" si="14"/>
        <v>0.19453207150368024</v>
      </c>
    </row>
    <row r="260" spans="2:8">
      <c r="B260" s="363">
        <v>29707</v>
      </c>
      <c r="C260" s="364">
        <v>2.1792335028829699</v>
      </c>
      <c r="D260" s="365">
        <f t="shared" si="12"/>
        <v>-0.28070175461983871</v>
      </c>
      <c r="E260" s="362">
        <f t="shared" si="13"/>
        <v>0.13468192706983007</v>
      </c>
      <c r="F260" s="364">
        <v>2.3955180784096659</v>
      </c>
      <c r="G260" s="365">
        <f t="shared" si="15"/>
        <v>-0.44014084507040252</v>
      </c>
      <c r="H260" s="380">
        <f t="shared" si="14"/>
        <v>0.14127144298688199</v>
      </c>
    </row>
    <row r="261" spans="2:8">
      <c r="B261" s="363">
        <v>29738</v>
      </c>
      <c r="C261" s="364">
        <v>2.1843454745059798</v>
      </c>
      <c r="D261" s="365">
        <f t="shared" ref="D261:D324" si="16">+((C261/C260)-1)*100</f>
        <v>0.23457658925705172</v>
      </c>
      <c r="E261" s="362">
        <f t="shared" si="13"/>
        <v>0.12063991607690006</v>
      </c>
      <c r="F261" s="364">
        <v>2.4166986096069216</v>
      </c>
      <c r="G261" s="365">
        <f t="shared" si="15"/>
        <v>0.88417329796639521</v>
      </c>
      <c r="H261" s="380">
        <f t="shared" si="14"/>
        <v>0.14099999999999979</v>
      </c>
    </row>
    <row r="262" spans="2:8">
      <c r="B262" s="363">
        <v>29768</v>
      </c>
      <c r="C262" s="364">
        <v>2.1506064617941298</v>
      </c>
      <c r="D262" s="365">
        <f t="shared" si="16"/>
        <v>-1.5445822607104143</v>
      </c>
      <c r="E262" s="362">
        <f t="shared" si="13"/>
        <v>9.159314997429413E-2</v>
      </c>
      <c r="F262" s="364">
        <v>2.4166986096069216</v>
      </c>
      <c r="G262" s="365">
        <f t="shared" si="15"/>
        <v>0</v>
      </c>
      <c r="H262" s="380">
        <f t="shared" si="14"/>
        <v>0.12413793103448256</v>
      </c>
    </row>
    <row r="263" spans="2:8">
      <c r="B263" s="363">
        <v>29799</v>
      </c>
      <c r="C263" s="364">
        <v>2.16645357382545</v>
      </c>
      <c r="D263" s="365">
        <f t="shared" si="16"/>
        <v>0.73686712621983119</v>
      </c>
      <c r="E263" s="362">
        <f t="shared" si="13"/>
        <v>9.198660139163306E-2</v>
      </c>
      <c r="F263" s="364">
        <v>2.4251708220858244</v>
      </c>
      <c r="G263" s="365">
        <f t="shared" si="15"/>
        <v>0.35056967572306696</v>
      </c>
      <c r="H263" s="380">
        <f t="shared" si="14"/>
        <v>0.1170731707317072</v>
      </c>
    </row>
    <row r="264" spans="2:8">
      <c r="B264" s="363">
        <v>29830</v>
      </c>
      <c r="C264" s="364">
        <v>2.1797447000452701</v>
      </c>
      <c r="D264" s="365">
        <f t="shared" si="16"/>
        <v>0.61349693251682158</v>
      </c>
      <c r="E264" s="362">
        <f t="shared" si="13"/>
        <v>9.6989966555432794E-2</v>
      </c>
      <c r="F264" s="364">
        <v>2.4315249814450013</v>
      </c>
      <c r="G264" s="365">
        <f t="shared" si="15"/>
        <v>0.26200873362445254</v>
      </c>
      <c r="H264" s="380">
        <f t="shared" si="14"/>
        <v>0.1102514506769825</v>
      </c>
    </row>
    <row r="265" spans="2:8">
      <c r="B265" s="363">
        <v>29860</v>
      </c>
      <c r="C265" s="364">
        <v>2.22370765600825</v>
      </c>
      <c r="D265" s="365">
        <f t="shared" si="16"/>
        <v>2.0168855537103347</v>
      </c>
      <c r="E265" s="362">
        <f t="shared" si="13"/>
        <v>0.10182370820948194</v>
      </c>
      <c r="F265" s="364">
        <v>2.452705512642257</v>
      </c>
      <c r="G265" s="365">
        <f t="shared" si="15"/>
        <v>0.87108013937280404</v>
      </c>
      <c r="H265" s="380">
        <f t="shared" si="14"/>
        <v>0.10813397129186586</v>
      </c>
    </row>
    <row r="266" spans="2:8">
      <c r="B266" s="363">
        <v>29891</v>
      </c>
      <c r="C266" s="364">
        <v>2.24671152831178</v>
      </c>
      <c r="D266" s="365">
        <f t="shared" si="16"/>
        <v>1.0344827586205252</v>
      </c>
      <c r="E266" s="362">
        <f t="shared" si="13"/>
        <v>0.13448631905300545</v>
      </c>
      <c r="F266" s="364">
        <v>2.4569416188817086</v>
      </c>
      <c r="G266" s="365">
        <f t="shared" si="15"/>
        <v>0.17271157167531026</v>
      </c>
      <c r="H266" s="380">
        <f t="shared" si="14"/>
        <v>8.3099906629318543E-2</v>
      </c>
    </row>
    <row r="267" spans="2:8">
      <c r="B267" s="363">
        <v>29921</v>
      </c>
      <c r="C267" s="364">
        <v>2.2840289211546199</v>
      </c>
      <c r="D267" s="365">
        <f t="shared" si="16"/>
        <v>1.6609783843002157</v>
      </c>
      <c r="E267" s="362">
        <f t="shared" si="13"/>
        <v>0.15006435006177443</v>
      </c>
      <c r="F267" s="364">
        <v>2.4823582563184159</v>
      </c>
      <c r="G267" s="365">
        <f t="shared" si="15"/>
        <v>1.0344827586206806</v>
      </c>
      <c r="H267" s="380">
        <f t="shared" si="14"/>
        <v>8.1180811808118092E-2</v>
      </c>
    </row>
    <row r="268" spans="2:8">
      <c r="B268" s="363">
        <v>29952</v>
      </c>
      <c r="C268" s="364">
        <v>2.2349731744071102</v>
      </c>
      <c r="D268" s="365">
        <f t="shared" si="16"/>
        <v>-2.1477725738565101</v>
      </c>
      <c r="E268" s="362">
        <f t="shared" si="13"/>
        <v>7.0004288154918104E-2</v>
      </c>
      <c r="F268" s="364">
        <v>2.5056568406353978</v>
      </c>
      <c r="G268" s="365">
        <f t="shared" si="15"/>
        <v>0.9385665529010323</v>
      </c>
      <c r="H268" s="380">
        <f t="shared" si="14"/>
        <v>8.6317722681358955E-2</v>
      </c>
    </row>
    <row r="269" spans="2:8">
      <c r="B269" s="363">
        <v>29983</v>
      </c>
      <c r="C269" s="364">
        <v>2.24441938393546</v>
      </c>
      <c r="D269" s="365">
        <f t="shared" si="16"/>
        <v>0.42265426880820911</v>
      </c>
      <c r="E269" s="362">
        <f t="shared" si="13"/>
        <v>2.3907678315902237E-2</v>
      </c>
      <c r="F269" s="364">
        <v>2.5162471062340255</v>
      </c>
      <c r="G269" s="365">
        <f t="shared" si="15"/>
        <v>0.42265426880809809</v>
      </c>
      <c r="H269" s="380">
        <f t="shared" si="14"/>
        <v>5.4125998225377225E-2</v>
      </c>
    </row>
    <row r="270" spans="2:8">
      <c r="B270" s="363">
        <v>30011</v>
      </c>
      <c r="C270" s="364">
        <v>2.2708687706148298</v>
      </c>
      <c r="D270" s="365">
        <f t="shared" si="16"/>
        <v>1.1784511784509899</v>
      </c>
      <c r="E270" s="362">
        <f t="shared" si="13"/>
        <v>4.7701937174266407E-2</v>
      </c>
      <c r="F270" s="364">
        <v>2.5458998499101844</v>
      </c>
      <c r="G270" s="365">
        <f t="shared" si="15"/>
        <v>1.1784511784511897</v>
      </c>
      <c r="H270" s="380">
        <f t="shared" si="14"/>
        <v>6.371681415929209E-2</v>
      </c>
    </row>
    <row r="271" spans="2:8">
      <c r="B271" s="363">
        <v>30042</v>
      </c>
      <c r="C271" s="364">
        <v>2.2652010448978199</v>
      </c>
      <c r="D271" s="365">
        <f t="shared" si="16"/>
        <v>-0.24958402662235146</v>
      </c>
      <c r="E271" s="362">
        <f t="shared" si="13"/>
        <v>3.6530772324690153E-2</v>
      </c>
      <c r="F271" s="364">
        <v>2.5395456905510074</v>
      </c>
      <c r="G271" s="365">
        <f t="shared" si="15"/>
        <v>-0.24958402662229595</v>
      </c>
      <c r="H271" s="380">
        <f t="shared" si="14"/>
        <v>5.5457746478873471E-2</v>
      </c>
    </row>
    <row r="272" spans="2:8">
      <c r="B272" s="363">
        <v>30072</v>
      </c>
      <c r="C272" s="364">
        <v>2.2652010448978199</v>
      </c>
      <c r="D272" s="365">
        <f t="shared" si="16"/>
        <v>0</v>
      </c>
      <c r="E272" s="362">
        <f t="shared" si="13"/>
        <v>3.9448522565902699E-2</v>
      </c>
      <c r="F272" s="364">
        <v>2.5395456905510074</v>
      </c>
      <c r="G272" s="365">
        <f t="shared" si="15"/>
        <v>0</v>
      </c>
      <c r="H272" s="380">
        <f t="shared" si="14"/>
        <v>6.0123784261715274E-2</v>
      </c>
    </row>
    <row r="273" spans="2:8">
      <c r="B273" s="363">
        <v>30103</v>
      </c>
      <c r="C273" s="364">
        <v>2.2652010448978199</v>
      </c>
      <c r="D273" s="365">
        <f t="shared" si="16"/>
        <v>0</v>
      </c>
      <c r="E273" s="362">
        <f t="shared" ref="E273:E336" si="17">+(C273/C261)-1</f>
        <v>3.7015925976694009E-2</v>
      </c>
      <c r="F273" s="364">
        <v>2.5395456905510074</v>
      </c>
      <c r="G273" s="365">
        <f t="shared" si="15"/>
        <v>0</v>
      </c>
      <c r="H273" s="380">
        <f t="shared" ref="H273:H336" si="18">+(F273/F261)-1</f>
        <v>5.0832602979842489E-2</v>
      </c>
    </row>
    <row r="274" spans="2:8">
      <c r="B274" s="363">
        <v>30133</v>
      </c>
      <c r="C274" s="364">
        <v>2.2935396734828699</v>
      </c>
      <c r="D274" s="365">
        <f t="shared" si="16"/>
        <v>1.2510425354464783</v>
      </c>
      <c r="E274" s="362">
        <f t="shared" si="17"/>
        <v>6.6461816342493041E-2</v>
      </c>
      <c r="F274" s="364">
        <v>2.5713164873468917</v>
      </c>
      <c r="G274" s="365">
        <f t="shared" si="15"/>
        <v>1.2510425354462118</v>
      </c>
      <c r="H274" s="380">
        <f t="shared" si="18"/>
        <v>6.3978965819456723E-2</v>
      </c>
    </row>
    <row r="275" spans="2:8">
      <c r="B275" s="363">
        <v>30164</v>
      </c>
      <c r="C275" s="364">
        <v>2.28598270586019</v>
      </c>
      <c r="D275" s="365">
        <f t="shared" si="16"/>
        <v>-0.32948929159809515</v>
      </c>
      <c r="E275" s="362">
        <f t="shared" si="17"/>
        <v>5.5172717975063623E-2</v>
      </c>
      <c r="F275" s="364">
        <v>2.5628442748679889</v>
      </c>
      <c r="G275" s="365">
        <f t="shared" si="15"/>
        <v>-0.32948929159803964</v>
      </c>
      <c r="H275" s="380">
        <f t="shared" si="18"/>
        <v>5.6768558951965087E-2</v>
      </c>
    </row>
    <row r="276" spans="2:8">
      <c r="B276" s="363">
        <v>30195</v>
      </c>
      <c r="C276" s="364">
        <v>2.2935396734828699</v>
      </c>
      <c r="D276" s="365">
        <f t="shared" si="16"/>
        <v>0.33057851239677305</v>
      </c>
      <c r="E276" s="362">
        <f t="shared" si="17"/>
        <v>5.2205642906362648E-2</v>
      </c>
      <c r="F276" s="364">
        <v>2.5713164873468917</v>
      </c>
      <c r="G276" s="365">
        <f t="shared" si="15"/>
        <v>0.33057851239670644</v>
      </c>
      <c r="H276" s="380">
        <f t="shared" si="18"/>
        <v>5.7491289198606355E-2</v>
      </c>
    </row>
    <row r="277" spans="2:8">
      <c r="B277" s="363">
        <v>30225</v>
      </c>
      <c r="C277" s="364">
        <v>2.37099859161532</v>
      </c>
      <c r="D277" s="365">
        <f t="shared" si="16"/>
        <v>3.3772652388796232</v>
      </c>
      <c r="E277" s="362">
        <f t="shared" si="17"/>
        <v>6.6236645455217014E-2</v>
      </c>
      <c r="F277" s="364">
        <v>2.6581566652556416</v>
      </c>
      <c r="G277" s="365">
        <f t="shared" si="15"/>
        <v>3.3772652388797342</v>
      </c>
      <c r="H277" s="380">
        <f t="shared" si="18"/>
        <v>8.3765112262521813E-2</v>
      </c>
    </row>
    <row r="278" spans="2:8">
      <c r="B278" s="363">
        <v>30256</v>
      </c>
      <c r="C278" s="364">
        <v>2.3917802525776799</v>
      </c>
      <c r="D278" s="365">
        <f t="shared" si="16"/>
        <v>0.87649402390415077</v>
      </c>
      <c r="E278" s="362">
        <f t="shared" si="17"/>
        <v>6.4569359456176922E-2</v>
      </c>
      <c r="F278" s="364">
        <v>2.6793371964528978</v>
      </c>
      <c r="G278" s="365">
        <f t="shared" si="15"/>
        <v>0.79681274900398336</v>
      </c>
      <c r="H278" s="380">
        <f t="shared" si="18"/>
        <v>9.0517241379310276E-2</v>
      </c>
    </row>
    <row r="279" spans="2:8">
      <c r="B279" s="363">
        <v>30286</v>
      </c>
      <c r="C279" s="364">
        <v>2.41067267163438</v>
      </c>
      <c r="D279" s="365">
        <f t="shared" si="16"/>
        <v>0.78988941548201463</v>
      </c>
      <c r="E279" s="362">
        <f t="shared" si="17"/>
        <v>5.5447524900752665E-2</v>
      </c>
      <c r="F279" s="364">
        <v>2.7026357807698793</v>
      </c>
      <c r="G279" s="365">
        <f t="shared" si="15"/>
        <v>0.86956521739129933</v>
      </c>
      <c r="H279" s="380">
        <f t="shared" si="18"/>
        <v>8.8737201365187701E-2</v>
      </c>
    </row>
    <row r="280" spans="2:8">
      <c r="B280" s="363">
        <v>30317</v>
      </c>
      <c r="C280" s="364">
        <v>2.4692391707101402</v>
      </c>
      <c r="D280" s="365">
        <f t="shared" si="16"/>
        <v>2.4294670846396249</v>
      </c>
      <c r="E280" s="362">
        <f t="shared" si="17"/>
        <v>0.10481825866441352</v>
      </c>
      <c r="F280" s="364">
        <v>2.7682954274813731</v>
      </c>
      <c r="G280" s="365">
        <f t="shared" si="15"/>
        <v>2.4294670846394917</v>
      </c>
      <c r="H280" s="380">
        <f t="shared" si="18"/>
        <v>0.10481825866441241</v>
      </c>
    </row>
    <row r="281" spans="2:8">
      <c r="B281" s="363">
        <v>30348</v>
      </c>
      <c r="C281" s="364">
        <v>2.4862423478611602</v>
      </c>
      <c r="D281" s="365">
        <f t="shared" si="16"/>
        <v>0.68859984697755561</v>
      </c>
      <c r="E281" s="362">
        <f t="shared" si="17"/>
        <v>0.10774410774410503</v>
      </c>
      <c r="F281" s="364">
        <v>2.7873579055589035</v>
      </c>
      <c r="G281" s="365">
        <f t="shared" si="15"/>
        <v>0.68859984697779986</v>
      </c>
      <c r="H281" s="380">
        <f t="shared" si="18"/>
        <v>0.1077441077441077</v>
      </c>
    </row>
    <row r="282" spans="2:8">
      <c r="B282" s="363">
        <v>30376</v>
      </c>
      <c r="C282" s="364">
        <v>2.4994670412008499</v>
      </c>
      <c r="D282" s="365">
        <f t="shared" si="16"/>
        <v>0.53191489361712474</v>
      </c>
      <c r="E282" s="362">
        <f t="shared" si="17"/>
        <v>0.1006655574043267</v>
      </c>
      <c r="F282" s="364">
        <v>2.8021842773969836</v>
      </c>
      <c r="G282" s="365">
        <f t="shared" si="15"/>
        <v>0.53191489361705813</v>
      </c>
      <c r="H282" s="380">
        <f t="shared" si="18"/>
        <v>0.10066555740432626</v>
      </c>
    </row>
    <row r="283" spans="2:8">
      <c r="B283" s="363">
        <v>30407</v>
      </c>
      <c r="C283" s="364">
        <v>2.4919100735781701</v>
      </c>
      <c r="D283" s="365">
        <f t="shared" si="16"/>
        <v>-0.30234315948608481</v>
      </c>
      <c r="E283" s="362">
        <f t="shared" si="17"/>
        <v>0.10008340283569694</v>
      </c>
      <c r="F283" s="364">
        <v>2.7937120649180809</v>
      </c>
      <c r="G283" s="365">
        <f t="shared" si="15"/>
        <v>-0.3023431594860293</v>
      </c>
      <c r="H283" s="380">
        <f t="shared" si="18"/>
        <v>0.1000834028356965</v>
      </c>
    </row>
    <row r="284" spans="2:8">
      <c r="B284" s="363">
        <v>30437</v>
      </c>
      <c r="C284" s="364">
        <v>2.5032455250121899</v>
      </c>
      <c r="D284" s="365">
        <f t="shared" si="16"/>
        <v>0.45489006823360434</v>
      </c>
      <c r="E284" s="362">
        <f t="shared" si="17"/>
        <v>0.10508757297748272</v>
      </c>
      <c r="F284" s="364">
        <v>2.8085384367561601</v>
      </c>
      <c r="G284" s="365">
        <f t="shared" si="15"/>
        <v>0.5307050796057533</v>
      </c>
      <c r="H284" s="380">
        <f t="shared" si="18"/>
        <v>0.1059216013344455</v>
      </c>
    </row>
    <row r="285" spans="2:8">
      <c r="B285" s="363">
        <v>30468</v>
      </c>
      <c r="C285" s="364">
        <v>2.56559050789929</v>
      </c>
      <c r="D285" s="365">
        <f t="shared" si="16"/>
        <v>2.4905660377360084</v>
      </c>
      <c r="E285" s="362">
        <f t="shared" si="17"/>
        <v>0.13261050875730107</v>
      </c>
      <c r="F285" s="364">
        <v>2.8763161365873797</v>
      </c>
      <c r="G285" s="365">
        <f t="shared" si="15"/>
        <v>2.4132730015082871</v>
      </c>
      <c r="H285" s="380">
        <f t="shared" si="18"/>
        <v>0.13261050875729774</v>
      </c>
    </row>
    <row r="286" spans="2:8">
      <c r="B286" s="363">
        <v>30498</v>
      </c>
      <c r="C286" s="364">
        <v>2.61848928125803</v>
      </c>
      <c r="D286" s="365">
        <f t="shared" si="16"/>
        <v>2.0618556701027746</v>
      </c>
      <c r="E286" s="362">
        <f t="shared" si="17"/>
        <v>0.14168039538714661</v>
      </c>
      <c r="F286" s="364">
        <v>2.937739677059422</v>
      </c>
      <c r="G286" s="365">
        <f t="shared" si="15"/>
        <v>2.1354933726067671</v>
      </c>
      <c r="H286" s="380">
        <f t="shared" si="18"/>
        <v>0.14250411861614487</v>
      </c>
    </row>
    <row r="287" spans="2:8">
      <c r="B287" s="363">
        <v>30529</v>
      </c>
      <c r="C287" s="364">
        <v>2.6827235060508001</v>
      </c>
      <c r="D287" s="365">
        <f t="shared" si="16"/>
        <v>2.453102453102618</v>
      </c>
      <c r="E287" s="362">
        <f t="shared" si="17"/>
        <v>0.17355371900826388</v>
      </c>
      <c r="F287" s="364">
        <v>3.0076354300103674</v>
      </c>
      <c r="G287" s="365">
        <f t="shared" si="15"/>
        <v>2.3792357606344794</v>
      </c>
      <c r="H287" s="380">
        <f t="shared" si="18"/>
        <v>0.17355371900826455</v>
      </c>
    </row>
    <row r="288" spans="2:8">
      <c r="B288" s="363">
        <v>30560</v>
      </c>
      <c r="C288" s="364">
        <v>2.7242868279755301</v>
      </c>
      <c r="D288" s="365">
        <f t="shared" si="16"/>
        <v>1.5492957746478631</v>
      </c>
      <c r="E288" s="362">
        <f t="shared" si="17"/>
        <v>0.18780889621087149</v>
      </c>
      <c r="F288" s="364">
        <v>3.0542325986443304</v>
      </c>
      <c r="G288" s="365">
        <f t="shared" si="15"/>
        <v>1.5492957746478631</v>
      </c>
      <c r="H288" s="380">
        <f t="shared" si="18"/>
        <v>0.18780889621087282</v>
      </c>
    </row>
    <row r="289" spans="2:8">
      <c r="B289" s="363">
        <v>30590</v>
      </c>
      <c r="C289" s="364">
        <v>2.74884697274923</v>
      </c>
      <c r="D289" s="365">
        <f t="shared" si="16"/>
        <v>0.90152565880703417</v>
      </c>
      <c r="E289" s="362">
        <f t="shared" si="17"/>
        <v>0.15936254980079445</v>
      </c>
      <c r="F289" s="364">
        <v>3.0817672892007635</v>
      </c>
      <c r="G289" s="365">
        <f t="shared" si="15"/>
        <v>0.9015256588072118</v>
      </c>
      <c r="H289" s="380">
        <f t="shared" si="18"/>
        <v>0.15936254980079667</v>
      </c>
    </row>
    <row r="290" spans="2:8">
      <c r="B290" s="363">
        <v>30621</v>
      </c>
      <c r="C290" s="364">
        <v>2.7582931822775798</v>
      </c>
      <c r="D290" s="365">
        <f t="shared" si="16"/>
        <v>0.34364261168391419</v>
      </c>
      <c r="E290" s="362">
        <f t="shared" si="17"/>
        <v>0.15323854660347669</v>
      </c>
      <c r="F290" s="364">
        <v>3.092357554799392</v>
      </c>
      <c r="G290" s="365">
        <f t="shared" si="15"/>
        <v>0.34364261168386978</v>
      </c>
      <c r="H290" s="380">
        <f t="shared" si="18"/>
        <v>0.1541501976284585</v>
      </c>
    </row>
    <row r="291" spans="2:8">
      <c r="B291" s="363">
        <v>30651</v>
      </c>
      <c r="C291" s="364">
        <v>2.7507362146548999</v>
      </c>
      <c r="D291" s="365">
        <f t="shared" si="16"/>
        <v>-0.27397260273978041</v>
      </c>
      <c r="E291" s="362">
        <f t="shared" si="17"/>
        <v>0.14106583072100154</v>
      </c>
      <c r="F291" s="364">
        <v>3.0838853423204893</v>
      </c>
      <c r="G291" s="365">
        <f t="shared" si="15"/>
        <v>-0.273972602739736</v>
      </c>
      <c r="H291" s="380">
        <f t="shared" si="18"/>
        <v>0.14106583072100309</v>
      </c>
    </row>
    <row r="292" spans="2:8">
      <c r="B292" s="363">
        <v>30682</v>
      </c>
      <c r="C292" s="364">
        <v>2.7941887784852999</v>
      </c>
      <c r="D292" s="365">
        <f t="shared" si="16"/>
        <v>1.5796703296703241</v>
      </c>
      <c r="E292" s="362">
        <f t="shared" si="17"/>
        <v>0.13159908186686753</v>
      </c>
      <c r="F292" s="364">
        <v>3.1326005640741785</v>
      </c>
      <c r="G292" s="365">
        <f t="shared" si="15"/>
        <v>1.5796703296703463</v>
      </c>
      <c r="H292" s="380">
        <f t="shared" si="18"/>
        <v>0.13159908186687086</v>
      </c>
    </row>
    <row r="293" spans="2:8">
      <c r="B293" s="363">
        <v>30713</v>
      </c>
      <c r="C293" s="364">
        <v>2.8300843746930302</v>
      </c>
      <c r="D293" s="365">
        <f t="shared" si="16"/>
        <v>1.2846517917514788</v>
      </c>
      <c r="E293" s="362">
        <f t="shared" si="17"/>
        <v>0.13829787234042845</v>
      </c>
      <c r="F293" s="364">
        <v>3.1728435733489651</v>
      </c>
      <c r="G293" s="365">
        <f t="shared" si="15"/>
        <v>1.2846517917511902</v>
      </c>
      <c r="H293" s="380">
        <f t="shared" si="18"/>
        <v>0.13829787234042579</v>
      </c>
    </row>
    <row r="294" spans="2:8">
      <c r="B294" s="363">
        <v>30742</v>
      </c>
      <c r="C294" s="364">
        <v>2.8924293575801201</v>
      </c>
      <c r="D294" s="365">
        <f t="shared" si="16"/>
        <v>2.2029372496660038</v>
      </c>
      <c r="E294" s="362">
        <f t="shared" si="17"/>
        <v>0.15721844293272791</v>
      </c>
      <c r="F294" s="364">
        <v>3.24273932629991</v>
      </c>
      <c r="G294" s="365">
        <f t="shared" si="15"/>
        <v>2.2029372496662258</v>
      </c>
      <c r="H294" s="380">
        <f t="shared" si="18"/>
        <v>0.15721844293272835</v>
      </c>
    </row>
    <row r="295" spans="2:8">
      <c r="B295" s="363">
        <v>30773</v>
      </c>
      <c r="C295" s="364">
        <v>2.9151002604481602</v>
      </c>
      <c r="D295" s="365">
        <f t="shared" si="16"/>
        <v>0.7838014369694779</v>
      </c>
      <c r="E295" s="362">
        <f t="shared" si="17"/>
        <v>0.16982562547384594</v>
      </c>
      <c r="F295" s="364">
        <v>3.2681559637366178</v>
      </c>
      <c r="G295" s="365">
        <f t="shared" si="15"/>
        <v>0.78380143696932247</v>
      </c>
      <c r="H295" s="380">
        <f t="shared" si="18"/>
        <v>0.16982562547384372</v>
      </c>
    </row>
    <row r="296" spans="2:8">
      <c r="B296" s="363">
        <v>30803</v>
      </c>
      <c r="C296" s="364">
        <v>2.93777116331619</v>
      </c>
      <c r="D296" s="365">
        <f t="shared" si="16"/>
        <v>0.77770576798428248</v>
      </c>
      <c r="E296" s="362">
        <f t="shared" si="17"/>
        <v>0.17358490566037621</v>
      </c>
      <c r="F296" s="364">
        <v>3.2935726011733246</v>
      </c>
      <c r="G296" s="365">
        <f t="shared" si="15"/>
        <v>0.77770576798443791</v>
      </c>
      <c r="H296" s="380">
        <f t="shared" si="18"/>
        <v>0.17269984917043724</v>
      </c>
    </row>
    <row r="297" spans="2:8">
      <c r="B297" s="363">
        <v>30834</v>
      </c>
      <c r="C297" s="364">
        <v>3.0549041614677099</v>
      </c>
      <c r="D297" s="365">
        <f t="shared" si="16"/>
        <v>3.9871382636658126</v>
      </c>
      <c r="E297" s="362">
        <f t="shared" si="17"/>
        <v>0.19072164948453563</v>
      </c>
      <c r="F297" s="364">
        <v>3.4248918945963127</v>
      </c>
      <c r="G297" s="365">
        <f t="shared" si="15"/>
        <v>3.9871382636656127</v>
      </c>
      <c r="H297" s="380">
        <f t="shared" si="18"/>
        <v>0.19072164948453607</v>
      </c>
    </row>
    <row r="298" spans="2:8">
      <c r="B298" s="363">
        <v>30864</v>
      </c>
      <c r="C298" s="364">
        <v>3.10969217673212</v>
      </c>
      <c r="D298" s="365">
        <f t="shared" si="16"/>
        <v>1.7934446505872614</v>
      </c>
      <c r="E298" s="362">
        <f t="shared" si="17"/>
        <v>0.18759018759018775</v>
      </c>
      <c r="F298" s="364">
        <v>3.4863154350683554</v>
      </c>
      <c r="G298" s="365">
        <f t="shared" si="15"/>
        <v>1.7934446505875057</v>
      </c>
      <c r="H298" s="380">
        <f t="shared" si="18"/>
        <v>0.1867339581831291</v>
      </c>
    </row>
    <row r="299" spans="2:8">
      <c r="B299" s="363">
        <v>30895</v>
      </c>
      <c r="C299" s="364">
        <v>3.2362713844119799</v>
      </c>
      <c r="D299" s="365">
        <f t="shared" si="16"/>
        <v>4.0704738760631409</v>
      </c>
      <c r="E299" s="362">
        <f t="shared" si="17"/>
        <v>0.2063380281690117</v>
      </c>
      <c r="F299" s="364">
        <v>3.628224994089972</v>
      </c>
      <c r="G299" s="365">
        <f t="shared" si="15"/>
        <v>4.0704738760632075</v>
      </c>
      <c r="H299" s="380">
        <f t="shared" si="18"/>
        <v>0.20633802816901436</v>
      </c>
    </row>
    <row r="300" spans="2:8">
      <c r="B300" s="363">
        <v>30926</v>
      </c>
      <c r="C300" s="364">
        <v>3.32506575397846</v>
      </c>
      <c r="D300" s="365">
        <f t="shared" si="16"/>
        <v>2.743724460011987</v>
      </c>
      <c r="E300" s="362">
        <f t="shared" si="17"/>
        <v>0.22052704576976589</v>
      </c>
      <c r="F300" s="364">
        <v>3.727773490717075</v>
      </c>
      <c r="G300" s="365">
        <f t="shared" si="15"/>
        <v>2.7437244600116539</v>
      </c>
      <c r="H300" s="380">
        <f t="shared" si="18"/>
        <v>0.22052704576976434</v>
      </c>
    </row>
    <row r="301" spans="2:8">
      <c r="B301" s="363">
        <v>30956</v>
      </c>
      <c r="C301" s="364">
        <v>3.4459772359413101</v>
      </c>
      <c r="D301" s="365">
        <f t="shared" si="16"/>
        <v>3.6363636363635488</v>
      </c>
      <c r="E301" s="362">
        <f t="shared" si="17"/>
        <v>0.25360824742268306</v>
      </c>
      <c r="F301" s="364">
        <v>3.8633288903795147</v>
      </c>
      <c r="G301" s="365">
        <f t="shared" si="15"/>
        <v>3.6363636363636598</v>
      </c>
      <c r="H301" s="380">
        <f t="shared" si="18"/>
        <v>0.25360824742268062</v>
      </c>
    </row>
    <row r="302" spans="2:8">
      <c r="B302" s="363">
        <v>30987</v>
      </c>
      <c r="C302" s="364">
        <v>3.5442178150361299</v>
      </c>
      <c r="D302" s="365">
        <f t="shared" si="16"/>
        <v>2.850877192982515</v>
      </c>
      <c r="E302" s="362">
        <f t="shared" si="17"/>
        <v>0.28493150684931745</v>
      </c>
      <c r="F302" s="364">
        <v>3.9734676526052461</v>
      </c>
      <c r="G302" s="365">
        <f t="shared" si="15"/>
        <v>2.8508771929824483</v>
      </c>
      <c r="H302" s="380">
        <f t="shared" si="18"/>
        <v>0.28493150684931501</v>
      </c>
    </row>
    <row r="303" spans="2:8">
      <c r="B303" s="363">
        <v>31017</v>
      </c>
      <c r="C303" s="364">
        <v>3.5706672017155001</v>
      </c>
      <c r="D303" s="365">
        <f t="shared" si="16"/>
        <v>0.74626865671632014</v>
      </c>
      <c r="E303" s="362">
        <f t="shared" si="17"/>
        <v>0.2980769230769249</v>
      </c>
      <c r="F303" s="364">
        <v>4.0031203962814041</v>
      </c>
      <c r="G303" s="365">
        <f t="shared" si="15"/>
        <v>0.74626865671640896</v>
      </c>
      <c r="H303" s="380">
        <f t="shared" si="18"/>
        <v>0.29807692307692291</v>
      </c>
    </row>
    <row r="304" spans="2:8">
      <c r="B304" s="363">
        <v>31048</v>
      </c>
      <c r="C304" s="364">
        <v>3.5612209921871498</v>
      </c>
      <c r="D304" s="365">
        <f t="shared" si="16"/>
        <v>-0.26455026455033392</v>
      </c>
      <c r="E304" s="362">
        <f t="shared" si="17"/>
        <v>0.27450980392156965</v>
      </c>
      <c r="F304" s="364">
        <v>3.9925301306827765</v>
      </c>
      <c r="G304" s="365">
        <f t="shared" si="15"/>
        <v>-0.26455026455025621</v>
      </c>
      <c r="H304" s="380">
        <f t="shared" si="18"/>
        <v>0.27450980392156854</v>
      </c>
    </row>
    <row r="305" spans="2:8">
      <c r="B305" s="363">
        <v>31079</v>
      </c>
      <c r="C305" s="364">
        <v>3.57822416933818</v>
      </c>
      <c r="D305" s="365">
        <f t="shared" si="16"/>
        <v>0.47745358090196532</v>
      </c>
      <c r="E305" s="362">
        <f t="shared" si="17"/>
        <v>0.26435246995994532</v>
      </c>
      <c r="F305" s="364">
        <v>4.0115926087603064</v>
      </c>
      <c r="G305" s="365">
        <f t="shared" si="15"/>
        <v>0.4774535809018321</v>
      </c>
      <c r="H305" s="380">
        <f t="shared" si="18"/>
        <v>0.26435246995994643</v>
      </c>
    </row>
    <row r="306" spans="2:8">
      <c r="B306" s="363">
        <v>31107</v>
      </c>
      <c r="C306" s="364">
        <v>3.6254552169799199</v>
      </c>
      <c r="D306" s="365">
        <f t="shared" si="16"/>
        <v>1.3199577613516533</v>
      </c>
      <c r="E306" s="362">
        <f t="shared" si="17"/>
        <v>0.25342913128674227</v>
      </c>
      <c r="F306" s="364">
        <v>4.0645439367534468</v>
      </c>
      <c r="G306" s="365">
        <f t="shared" si="15"/>
        <v>1.3199577613516311</v>
      </c>
      <c r="H306" s="380">
        <f t="shared" si="18"/>
        <v>0.25342913128674072</v>
      </c>
    </row>
    <row r="307" spans="2:8">
      <c r="B307" s="363">
        <v>31138</v>
      </c>
      <c r="C307" s="364">
        <v>3.6330121846025998</v>
      </c>
      <c r="D307" s="365">
        <f t="shared" si="16"/>
        <v>0.20844189682129866</v>
      </c>
      <c r="E307" s="362">
        <f t="shared" si="17"/>
        <v>0.2462734931950743</v>
      </c>
      <c r="F307" s="364">
        <v>4.07301614923235</v>
      </c>
      <c r="G307" s="365">
        <f t="shared" si="15"/>
        <v>0.20844189682127645</v>
      </c>
      <c r="H307" s="380">
        <f t="shared" si="18"/>
        <v>0.24627349319507452</v>
      </c>
    </row>
    <row r="308" spans="2:8">
      <c r="B308" s="363">
        <v>31168</v>
      </c>
      <c r="C308" s="364">
        <v>3.6821324741499999</v>
      </c>
      <c r="D308" s="365">
        <f t="shared" si="16"/>
        <v>1.3520540821630345</v>
      </c>
      <c r="E308" s="362">
        <f t="shared" si="17"/>
        <v>0.25337620578778042</v>
      </c>
      <c r="F308" s="364">
        <v>4.1280855303452153</v>
      </c>
      <c r="G308" s="365">
        <f t="shared" si="15"/>
        <v>1.3520540821632787</v>
      </c>
      <c r="H308" s="380">
        <f t="shared" si="18"/>
        <v>0.25337620578778131</v>
      </c>
    </row>
    <row r="309" spans="2:8">
      <c r="B309" s="363">
        <v>31199</v>
      </c>
      <c r="C309" s="364">
        <v>3.7236957960747401</v>
      </c>
      <c r="D309" s="365">
        <f t="shared" si="16"/>
        <v>1.128783991790927</v>
      </c>
      <c r="E309" s="362">
        <f t="shared" si="17"/>
        <v>0.21892393320964709</v>
      </c>
      <c r="F309" s="364">
        <v>4.1746826989791783</v>
      </c>
      <c r="G309" s="365">
        <f t="shared" ref="G309:G372" si="19">+((F309/F308)-1)*100</f>
        <v>1.1287839917906606</v>
      </c>
      <c r="H309" s="380">
        <f t="shared" si="18"/>
        <v>0.21892393320964731</v>
      </c>
    </row>
    <row r="310" spans="2:8">
      <c r="B310" s="363">
        <v>31229</v>
      </c>
      <c r="C310" s="364">
        <v>3.74636669894277</v>
      </c>
      <c r="D310" s="365">
        <f t="shared" si="16"/>
        <v>0.6088280060881468</v>
      </c>
      <c r="E310" s="362">
        <f t="shared" si="17"/>
        <v>0.20473876063183583</v>
      </c>
      <c r="F310" s="364">
        <v>4.2000993364158861</v>
      </c>
      <c r="G310" s="365">
        <f t="shared" si="19"/>
        <v>0.60882800608828003</v>
      </c>
      <c r="H310" s="380">
        <f t="shared" si="18"/>
        <v>0.20473876063183472</v>
      </c>
    </row>
    <row r="311" spans="2:8">
      <c r="B311" s="363">
        <v>31260</v>
      </c>
      <c r="C311" s="364">
        <v>4.1279935638880296</v>
      </c>
      <c r="D311" s="365">
        <f t="shared" si="16"/>
        <v>10.186585980837259</v>
      </c>
      <c r="E311" s="362">
        <f t="shared" si="17"/>
        <v>0.27553998832458015</v>
      </c>
      <c r="F311" s="364">
        <v>4.6279460666004599</v>
      </c>
      <c r="G311" s="365">
        <f t="shared" si="19"/>
        <v>10.186585980837126</v>
      </c>
      <c r="H311" s="380">
        <f t="shared" si="18"/>
        <v>0.2755399883245766</v>
      </c>
    </row>
    <row r="312" spans="2:8">
      <c r="B312" s="363">
        <v>31291</v>
      </c>
      <c r="C312" s="364">
        <v>4.2848006420585998</v>
      </c>
      <c r="D312" s="365">
        <f t="shared" si="16"/>
        <v>3.7986270022882129</v>
      </c>
      <c r="E312" s="362">
        <f t="shared" si="17"/>
        <v>0.28863636363636158</v>
      </c>
      <c r="F312" s="364">
        <v>4.8037444755376857</v>
      </c>
      <c r="G312" s="365">
        <f t="shared" si="19"/>
        <v>3.798627002288324</v>
      </c>
      <c r="H312" s="380">
        <f t="shared" si="18"/>
        <v>0.2886363636363638</v>
      </c>
    </row>
    <row r="313" spans="2:8">
      <c r="B313" s="363">
        <v>31321</v>
      </c>
      <c r="C313" s="364">
        <v>4.3981551563987704</v>
      </c>
      <c r="D313" s="365">
        <f t="shared" si="16"/>
        <v>2.6455026455025621</v>
      </c>
      <c r="E313" s="362">
        <f t="shared" si="17"/>
        <v>0.27631578947368229</v>
      </c>
      <c r="F313" s="364">
        <v>4.9308276627212217</v>
      </c>
      <c r="G313" s="365">
        <f t="shared" si="19"/>
        <v>2.6455026455026287</v>
      </c>
      <c r="H313" s="380">
        <f t="shared" si="18"/>
        <v>0.27631578947368407</v>
      </c>
    </row>
    <row r="314" spans="2:8">
      <c r="B314" s="363">
        <v>31352</v>
      </c>
      <c r="C314" s="364">
        <v>4.3943766725874402</v>
      </c>
      <c r="D314" s="365">
        <f t="shared" si="16"/>
        <v>-8.5910652920762054E-2</v>
      </c>
      <c r="E314" s="362">
        <f t="shared" si="17"/>
        <v>0.23987206823027707</v>
      </c>
      <c r="F314" s="364">
        <v>4.9265915564817711</v>
      </c>
      <c r="G314" s="365">
        <f t="shared" si="19"/>
        <v>-8.5910652920950792E-2</v>
      </c>
      <c r="H314" s="380">
        <f t="shared" si="18"/>
        <v>0.23987206823027707</v>
      </c>
    </row>
    <row r="315" spans="2:8">
      <c r="B315" s="363">
        <v>31382</v>
      </c>
      <c r="C315" s="364">
        <v>4.3943766725874402</v>
      </c>
      <c r="D315" s="365">
        <f t="shared" si="16"/>
        <v>0</v>
      </c>
      <c r="E315" s="362">
        <f t="shared" si="17"/>
        <v>0.23068783068783194</v>
      </c>
      <c r="F315" s="364">
        <v>4.9265915564817711</v>
      </c>
      <c r="G315" s="365">
        <f t="shared" si="19"/>
        <v>0</v>
      </c>
      <c r="H315" s="380">
        <f t="shared" si="18"/>
        <v>0.23068783068783083</v>
      </c>
    </row>
    <row r="316" spans="2:8">
      <c r="B316" s="363">
        <v>31413</v>
      </c>
      <c r="C316" s="364">
        <v>4.6399781203244803</v>
      </c>
      <c r="D316" s="365">
        <f t="shared" si="16"/>
        <v>5.5889939810832789</v>
      </c>
      <c r="E316" s="362">
        <f t="shared" si="17"/>
        <v>0.30291777188328983</v>
      </c>
      <c r="F316" s="364">
        <v>5.2019384620461002</v>
      </c>
      <c r="G316" s="365">
        <f t="shared" si="19"/>
        <v>5.58899398108339</v>
      </c>
      <c r="H316" s="380">
        <f t="shared" si="18"/>
        <v>0.30291777188328917</v>
      </c>
    </row>
    <row r="317" spans="2:8">
      <c r="B317" s="363">
        <v>31444</v>
      </c>
      <c r="C317" s="364">
        <v>4.9195859223635798</v>
      </c>
      <c r="D317" s="365">
        <f t="shared" si="16"/>
        <v>6.0260586319218712</v>
      </c>
      <c r="E317" s="362">
        <f t="shared" si="17"/>
        <v>0.37486800422386479</v>
      </c>
      <c r="F317" s="364">
        <v>5.5154103237654901</v>
      </c>
      <c r="G317" s="365">
        <f t="shared" si="19"/>
        <v>6.0260586319218046</v>
      </c>
      <c r="H317" s="380">
        <f t="shared" si="18"/>
        <v>0.37486800422386479</v>
      </c>
    </row>
    <row r="318" spans="2:8">
      <c r="B318" s="363">
        <v>31472</v>
      </c>
      <c r="C318" s="364">
        <v>5.0707252748171401</v>
      </c>
      <c r="D318" s="365">
        <f t="shared" si="16"/>
        <v>3.0721966205836004</v>
      </c>
      <c r="E318" s="362">
        <f t="shared" si="17"/>
        <v>0.39864512767065996</v>
      </c>
      <c r="F318" s="364">
        <v>5.6848545733435394</v>
      </c>
      <c r="G318" s="365">
        <f t="shared" si="19"/>
        <v>3.0721966205837337</v>
      </c>
      <c r="H318" s="380">
        <f t="shared" si="18"/>
        <v>0.39864512767066196</v>
      </c>
    </row>
    <row r="319" spans="2:8">
      <c r="B319" s="363">
        <v>31503</v>
      </c>
      <c r="C319" s="364">
        <v>5.1085101129305404</v>
      </c>
      <c r="D319" s="365">
        <f t="shared" si="16"/>
        <v>0.74515648286157532</v>
      </c>
      <c r="E319" s="362">
        <f t="shared" si="17"/>
        <v>0.40613624544981786</v>
      </c>
      <c r="F319" s="364">
        <v>5.7272156357380517</v>
      </c>
      <c r="G319" s="365">
        <f t="shared" si="19"/>
        <v>0.74515648286139768</v>
      </c>
      <c r="H319" s="380">
        <f t="shared" si="18"/>
        <v>0.40613624544981786</v>
      </c>
    </row>
    <row r="320" spans="2:8">
      <c r="B320" s="363">
        <v>31533</v>
      </c>
      <c r="C320" s="364">
        <v>5.14251646723259</v>
      </c>
      <c r="D320" s="365">
        <f t="shared" si="16"/>
        <v>0.66568047337272063</v>
      </c>
      <c r="E320" s="362">
        <f t="shared" si="17"/>
        <v>0.39661364802463051</v>
      </c>
      <c r="F320" s="364">
        <v>5.7653405918931124</v>
      </c>
      <c r="G320" s="365">
        <f t="shared" si="19"/>
        <v>0.66568047337278724</v>
      </c>
      <c r="H320" s="380">
        <f t="shared" si="18"/>
        <v>0.39661364802462806</v>
      </c>
    </row>
    <row r="321" spans="2:8">
      <c r="B321" s="363">
        <v>31564</v>
      </c>
      <c r="C321" s="364">
        <v>5.1973044824970103</v>
      </c>
      <c r="D321" s="365">
        <f t="shared" si="16"/>
        <v>1.0653930933137934</v>
      </c>
      <c r="E321" s="362">
        <f t="shared" si="17"/>
        <v>0.39573820395738157</v>
      </c>
      <c r="F321" s="364">
        <v>5.826764132365156</v>
      </c>
      <c r="G321" s="365">
        <f t="shared" si="19"/>
        <v>1.065393093313749</v>
      </c>
      <c r="H321" s="380">
        <f t="shared" si="18"/>
        <v>0.39573820395738246</v>
      </c>
    </row>
    <row r="322" spans="2:8">
      <c r="B322" s="363">
        <v>31594</v>
      </c>
      <c r="C322" s="364">
        <v>5.15763040247794</v>
      </c>
      <c r="D322" s="365">
        <f t="shared" si="16"/>
        <v>-0.76335877862613311</v>
      </c>
      <c r="E322" s="362">
        <f t="shared" si="17"/>
        <v>0.37670196671709433</v>
      </c>
      <c r="F322" s="364">
        <v>5.7844030699706437</v>
      </c>
      <c r="G322" s="365">
        <f t="shared" si="19"/>
        <v>-0.7270083605961486</v>
      </c>
      <c r="H322" s="380">
        <f t="shared" si="18"/>
        <v>0.37720625315179035</v>
      </c>
    </row>
    <row r="323" spans="2:8">
      <c r="B323" s="363">
        <v>31625</v>
      </c>
      <c r="C323" s="364">
        <v>5.2350893206103999</v>
      </c>
      <c r="D323" s="365">
        <f t="shared" si="16"/>
        <v>1.5018315018316519</v>
      </c>
      <c r="E323" s="362">
        <f t="shared" si="17"/>
        <v>0.26819221967963314</v>
      </c>
      <c r="F323" s="364">
        <v>5.8691251947596683</v>
      </c>
      <c r="G323" s="365">
        <f t="shared" si="19"/>
        <v>1.4646649578908821</v>
      </c>
      <c r="H323" s="380">
        <f t="shared" si="18"/>
        <v>0.26819221967963403</v>
      </c>
    </row>
    <row r="324" spans="2:8">
      <c r="B324" s="363">
        <v>31656</v>
      </c>
      <c r="C324" s="364">
        <v>5.3276621739882097</v>
      </c>
      <c r="D324" s="365">
        <f t="shared" si="16"/>
        <v>1.7683146878383349</v>
      </c>
      <c r="E324" s="362">
        <f t="shared" si="17"/>
        <v>0.24338624338624415</v>
      </c>
      <c r="F324" s="364">
        <v>5.9729097976262224</v>
      </c>
      <c r="G324" s="365">
        <f t="shared" si="19"/>
        <v>1.7683146878383127</v>
      </c>
      <c r="H324" s="380">
        <f t="shared" si="18"/>
        <v>0.24338624338624326</v>
      </c>
    </row>
    <row r="325" spans="2:8">
      <c r="B325" s="363">
        <v>31686</v>
      </c>
      <c r="C325" s="364">
        <v>5.4504628978567302</v>
      </c>
      <c r="D325" s="365">
        <f t="shared" ref="D325:D388" si="20">+((C325/C324)-1)*100</f>
        <v>2.3049645390070594</v>
      </c>
      <c r="E325" s="362">
        <f t="shared" si="17"/>
        <v>0.23926116838488132</v>
      </c>
      <c r="F325" s="364">
        <v>6.1127013035281133</v>
      </c>
      <c r="G325" s="365">
        <f t="shared" si="19"/>
        <v>2.3404255319148914</v>
      </c>
      <c r="H325" s="380">
        <f t="shared" si="18"/>
        <v>0.23969072164948457</v>
      </c>
    </row>
    <row r="326" spans="2:8">
      <c r="B326" s="363">
        <v>31717</v>
      </c>
      <c r="C326" s="364">
        <v>5.4126780597433397</v>
      </c>
      <c r="D326" s="365">
        <f t="shared" si="20"/>
        <v>-0.69324090121315463</v>
      </c>
      <c r="E326" s="362">
        <f t="shared" si="17"/>
        <v>0.23172828890799568</v>
      </c>
      <c r="F326" s="364">
        <v>6.0682221880138751</v>
      </c>
      <c r="G326" s="365">
        <f t="shared" si="19"/>
        <v>-0.72765072765073047</v>
      </c>
      <c r="H326" s="380">
        <f t="shared" si="18"/>
        <v>0.23172828890799657</v>
      </c>
    </row>
    <row r="327" spans="2:8">
      <c r="B327" s="363">
        <v>31747</v>
      </c>
      <c r="C327" s="364">
        <v>5.4542413816680702</v>
      </c>
      <c r="D327" s="365">
        <f t="shared" si="20"/>
        <v>0.76788830715532885</v>
      </c>
      <c r="E327" s="362">
        <f t="shared" si="17"/>
        <v>0.24118658641444446</v>
      </c>
      <c r="F327" s="364">
        <v>6.1148193566478382</v>
      </c>
      <c r="G327" s="365">
        <f t="shared" si="19"/>
        <v>0.76788830715530665</v>
      </c>
      <c r="H327" s="380">
        <f t="shared" si="18"/>
        <v>0.24118658641444535</v>
      </c>
    </row>
    <row r="328" spans="2:8">
      <c r="B328" s="363">
        <v>31778</v>
      </c>
      <c r="C328" s="364">
        <v>5.7395169094241698</v>
      </c>
      <c r="D328" s="365">
        <f t="shared" si="20"/>
        <v>5.2303429165222237</v>
      </c>
      <c r="E328" s="362">
        <f t="shared" si="17"/>
        <v>0.23697068403908705</v>
      </c>
      <c r="F328" s="364">
        <v>6.4346453777264063</v>
      </c>
      <c r="G328" s="365">
        <f t="shared" si="19"/>
        <v>5.2303429165223569</v>
      </c>
      <c r="H328" s="380">
        <f t="shared" si="18"/>
        <v>0.23697068403908816</v>
      </c>
    </row>
    <row r="329" spans="2:8">
      <c r="B329" s="363">
        <v>31809</v>
      </c>
      <c r="C329" s="364">
        <v>5.9303303418968003</v>
      </c>
      <c r="D329" s="365">
        <f t="shared" si="20"/>
        <v>3.3245556287031519</v>
      </c>
      <c r="E329" s="362">
        <f t="shared" si="17"/>
        <v>0.20545314900153544</v>
      </c>
      <c r="F329" s="364">
        <v>6.6485687428186919</v>
      </c>
      <c r="G329" s="365">
        <f t="shared" si="19"/>
        <v>3.3245556287030853</v>
      </c>
      <c r="H329" s="380">
        <f t="shared" si="18"/>
        <v>0.20545314900153611</v>
      </c>
    </row>
    <row r="330" spans="2:8">
      <c r="B330" s="363">
        <v>31837</v>
      </c>
      <c r="C330" s="364">
        <v>5.86420687519837</v>
      </c>
      <c r="D330" s="365">
        <f t="shared" si="20"/>
        <v>-1.1150047785918216</v>
      </c>
      <c r="E330" s="362">
        <f t="shared" si="17"/>
        <v>0.15648286140089573</v>
      </c>
      <c r="F330" s="364">
        <v>6.5744368836282954</v>
      </c>
      <c r="G330" s="365">
        <f t="shared" si="19"/>
        <v>-1.1150047785919104</v>
      </c>
      <c r="H330" s="380">
        <f t="shared" si="18"/>
        <v>0.15648286140089418</v>
      </c>
    </row>
    <row r="331" spans="2:8">
      <c r="B331" s="363">
        <v>31868</v>
      </c>
      <c r="C331" s="364">
        <v>5.8925455037834098</v>
      </c>
      <c r="D331" s="365">
        <f t="shared" si="20"/>
        <v>0.48324742268035514</v>
      </c>
      <c r="E331" s="362">
        <f t="shared" si="17"/>
        <v>0.15347633136094574</v>
      </c>
      <c r="F331" s="364">
        <v>6.6062076804241796</v>
      </c>
      <c r="G331" s="365">
        <f t="shared" si="19"/>
        <v>0.48324742268042176</v>
      </c>
      <c r="H331" s="380">
        <f t="shared" si="18"/>
        <v>0.15347633136094663</v>
      </c>
    </row>
    <row r="332" spans="2:8">
      <c r="B332" s="363">
        <v>31898</v>
      </c>
      <c r="C332" s="364">
        <v>6.0587987914823298</v>
      </c>
      <c r="D332" s="365">
        <f t="shared" si="20"/>
        <v>2.8214171208720273</v>
      </c>
      <c r="E332" s="362">
        <f t="shared" si="17"/>
        <v>0.17817781043350367</v>
      </c>
      <c r="F332" s="364">
        <v>6.7925963549600334</v>
      </c>
      <c r="G332" s="365">
        <f t="shared" si="19"/>
        <v>2.8214171208720717</v>
      </c>
      <c r="H332" s="380">
        <f t="shared" si="18"/>
        <v>0.17817781043350478</v>
      </c>
    </row>
    <row r="333" spans="2:8">
      <c r="B333" s="363">
        <v>31929</v>
      </c>
      <c r="C333" s="364">
        <v>6.1797102734451901</v>
      </c>
      <c r="D333" s="365">
        <f t="shared" si="20"/>
        <v>1.9956345494232641</v>
      </c>
      <c r="E333" s="362">
        <f t="shared" si="17"/>
        <v>0.18902217375499797</v>
      </c>
      <c r="F333" s="364">
        <v>6.9281517546224745</v>
      </c>
      <c r="G333" s="365">
        <f t="shared" si="19"/>
        <v>1.9956345494231753</v>
      </c>
      <c r="H333" s="380">
        <f t="shared" si="18"/>
        <v>0.18902217375499841</v>
      </c>
    </row>
    <row r="334" spans="2:8">
      <c r="B334" s="363">
        <v>31959</v>
      </c>
      <c r="C334" s="364">
        <v>6.1494824029544697</v>
      </c>
      <c r="D334" s="365">
        <f t="shared" si="20"/>
        <v>-0.48914704983197277</v>
      </c>
      <c r="E334" s="362">
        <f t="shared" si="17"/>
        <v>0.19230769230769273</v>
      </c>
      <c r="F334" s="364">
        <v>6.8942629047068635</v>
      </c>
      <c r="G334" s="365">
        <f t="shared" si="19"/>
        <v>-0.48914704983187285</v>
      </c>
      <c r="H334" s="380">
        <f t="shared" si="18"/>
        <v>0.19187110948370556</v>
      </c>
    </row>
    <row r="335" spans="2:8">
      <c r="B335" s="363">
        <v>31990</v>
      </c>
      <c r="C335" s="364">
        <v>6.28172933635134</v>
      </c>
      <c r="D335" s="365">
        <f t="shared" si="20"/>
        <v>2.1505376344086002</v>
      </c>
      <c r="E335" s="362">
        <f t="shared" si="17"/>
        <v>0.19992782389029107</v>
      </c>
      <c r="F335" s="364">
        <v>7.0425266230876558</v>
      </c>
      <c r="G335" s="365">
        <f t="shared" si="19"/>
        <v>2.1505376344086002</v>
      </c>
      <c r="H335" s="380">
        <f t="shared" si="18"/>
        <v>0.19992782389029218</v>
      </c>
    </row>
    <row r="336" spans="2:8">
      <c r="B336" s="363">
        <v>32021</v>
      </c>
      <c r="C336" s="364">
        <v>6.4687642850126297</v>
      </c>
      <c r="D336" s="365">
        <f t="shared" si="20"/>
        <v>2.9774436090225898</v>
      </c>
      <c r="E336" s="362">
        <f t="shared" si="17"/>
        <v>0.21418439716311966</v>
      </c>
      <c r="F336" s="364">
        <v>7.2522138819404915</v>
      </c>
      <c r="G336" s="365">
        <f t="shared" si="19"/>
        <v>2.9774436090225675</v>
      </c>
      <c r="H336" s="380">
        <f t="shared" si="18"/>
        <v>0.21418439716312054</v>
      </c>
    </row>
    <row r="337" spans="2:8">
      <c r="B337" s="363">
        <v>32051</v>
      </c>
      <c r="C337" s="364">
        <v>6.7351473937120403</v>
      </c>
      <c r="D337" s="365">
        <f t="shared" si="20"/>
        <v>4.1179906542056166</v>
      </c>
      <c r="E337" s="362">
        <f t="shared" ref="E337:E400" si="21">+(C337/C325)-1</f>
        <v>0.2357019064124779</v>
      </c>
      <c r="F337" s="364">
        <v>7.5508593718218018</v>
      </c>
      <c r="G337" s="365">
        <f t="shared" si="19"/>
        <v>4.1179906542055944</v>
      </c>
      <c r="H337" s="380">
        <f t="shared" ref="H337:H400" si="22">+(F337/F325)-1</f>
        <v>0.23527373527373507</v>
      </c>
    </row>
    <row r="338" spans="2:8">
      <c r="B338" s="363">
        <v>32082</v>
      </c>
      <c r="C338" s="364">
        <v>7.1621160643933601</v>
      </c>
      <c r="D338" s="365">
        <f t="shared" si="20"/>
        <v>6.33941093969137</v>
      </c>
      <c r="E338" s="362">
        <f t="shared" si="21"/>
        <v>0.32321116928446614</v>
      </c>
      <c r="F338" s="364">
        <v>8.0295393768797911</v>
      </c>
      <c r="G338" s="365">
        <f t="shared" si="19"/>
        <v>6.3394109396914589</v>
      </c>
      <c r="H338" s="380">
        <f t="shared" si="22"/>
        <v>0.32321116928446769</v>
      </c>
    </row>
    <row r="339" spans="2:8">
      <c r="B339" s="363">
        <v>32112</v>
      </c>
      <c r="C339" s="364">
        <v>7.2017901444124304</v>
      </c>
      <c r="D339" s="365">
        <f t="shared" si="20"/>
        <v>0.55394355051450184</v>
      </c>
      <c r="E339" s="362">
        <f t="shared" si="21"/>
        <v>0.32040180117769324</v>
      </c>
      <c r="F339" s="364">
        <v>8.0740184923940284</v>
      </c>
      <c r="G339" s="365">
        <f t="shared" si="19"/>
        <v>0.55394355051436861</v>
      </c>
      <c r="H339" s="380">
        <f t="shared" si="22"/>
        <v>0.32040180117769324</v>
      </c>
    </row>
    <row r="340" spans="2:8">
      <c r="B340" s="363">
        <v>32143</v>
      </c>
      <c r="C340" s="364">
        <v>7.2886952720732303</v>
      </c>
      <c r="D340" s="365">
        <f t="shared" si="20"/>
        <v>1.2067156348373409</v>
      </c>
      <c r="E340" s="362">
        <f t="shared" si="21"/>
        <v>0.26991441737985666</v>
      </c>
      <c r="F340" s="364">
        <v>8.1608586703027779</v>
      </c>
      <c r="G340" s="365">
        <f t="shared" si="19"/>
        <v>1.0755508919202406</v>
      </c>
      <c r="H340" s="380">
        <f t="shared" si="22"/>
        <v>0.26826859776168499</v>
      </c>
    </row>
    <row r="341" spans="2:8">
      <c r="B341" s="363">
        <v>32174</v>
      </c>
      <c r="C341" s="364">
        <v>7.5361859617159404</v>
      </c>
      <c r="D341" s="365">
        <f t="shared" si="20"/>
        <v>3.3955417314670111</v>
      </c>
      <c r="E341" s="362">
        <f t="shared" si="21"/>
        <v>0.27078687480089192</v>
      </c>
      <c r="F341" s="364">
        <v>8.5166915944166828</v>
      </c>
      <c r="G341" s="365">
        <f t="shared" si="19"/>
        <v>4.3602387749805738</v>
      </c>
      <c r="H341" s="380">
        <f t="shared" si="22"/>
        <v>0.28098120420516115</v>
      </c>
    </row>
    <row r="342" spans="2:8">
      <c r="B342" s="363">
        <v>32203</v>
      </c>
      <c r="C342" s="364">
        <v>7.3321478359036298</v>
      </c>
      <c r="D342" s="365">
        <f t="shared" si="20"/>
        <v>-2.7074454750563581</v>
      </c>
      <c r="E342" s="362">
        <f t="shared" si="21"/>
        <v>0.25032216494845327</v>
      </c>
      <c r="F342" s="364">
        <v>8.0973170767110112</v>
      </c>
      <c r="G342" s="365">
        <f t="shared" si="19"/>
        <v>-4.9241482218353667</v>
      </c>
      <c r="H342" s="380">
        <f t="shared" si="22"/>
        <v>0.23163659793814451</v>
      </c>
    </row>
    <row r="343" spans="2:8">
      <c r="B343" s="363">
        <v>32234</v>
      </c>
      <c r="C343" s="364">
        <v>7.4436131083381296</v>
      </c>
      <c r="D343" s="365">
        <f t="shared" si="20"/>
        <v>1.520226745684039</v>
      </c>
      <c r="E343" s="362">
        <f t="shared" si="21"/>
        <v>0.2632253927540873</v>
      </c>
      <c r="F343" s="364">
        <v>8.2053377858170151</v>
      </c>
      <c r="G343" s="365">
        <f t="shared" si="19"/>
        <v>1.3340308658121636</v>
      </c>
      <c r="H343" s="380">
        <f t="shared" si="22"/>
        <v>0.24206476434754731</v>
      </c>
    </row>
    <row r="344" spans="2:8">
      <c r="B344" s="363">
        <v>32264</v>
      </c>
      <c r="C344" s="364">
        <v>7.4020497864134001</v>
      </c>
      <c r="D344" s="365">
        <f t="shared" si="20"/>
        <v>-0.5583756345177493</v>
      </c>
      <c r="E344" s="362">
        <f t="shared" si="21"/>
        <v>0.22170252572497695</v>
      </c>
      <c r="F344" s="364">
        <v>8.2985321230849429</v>
      </c>
      <c r="G344" s="365">
        <f t="shared" si="19"/>
        <v>1.135776974703151</v>
      </c>
      <c r="H344" s="380">
        <f t="shared" si="22"/>
        <v>0.22170252572497673</v>
      </c>
    </row>
    <row r="345" spans="2:8">
      <c r="B345" s="363">
        <v>32295</v>
      </c>
      <c r="C345" s="364">
        <v>6.9713026319207403</v>
      </c>
      <c r="D345" s="365">
        <f t="shared" si="20"/>
        <v>-5.8192955589586042</v>
      </c>
      <c r="E345" s="362">
        <f t="shared" si="21"/>
        <v>0.12809538367471673</v>
      </c>
      <c r="F345" s="364">
        <v>8.3874903541134191</v>
      </c>
      <c r="G345" s="365">
        <f t="shared" si="19"/>
        <v>1.0719754977029261</v>
      </c>
      <c r="H345" s="380">
        <f t="shared" si="22"/>
        <v>0.21063894833384267</v>
      </c>
    </row>
    <row r="346" spans="2:8">
      <c r="B346" s="363">
        <v>32325</v>
      </c>
      <c r="C346" s="364">
        <v>7.7081069751318703</v>
      </c>
      <c r="D346" s="365">
        <f t="shared" si="20"/>
        <v>10.569105691056846</v>
      </c>
      <c r="E346" s="362">
        <f t="shared" si="21"/>
        <v>0.25345622119815681</v>
      </c>
      <c r="F346" s="364">
        <v>8.641656728480493</v>
      </c>
      <c r="G346" s="365">
        <f t="shared" si="19"/>
        <v>3.0303030303030276</v>
      </c>
      <c r="H346" s="380">
        <f t="shared" si="22"/>
        <v>0.25345622119815681</v>
      </c>
    </row>
    <row r="347" spans="2:8">
      <c r="B347" s="363">
        <v>32356</v>
      </c>
      <c r="C347" s="364">
        <v>7.8252399732833897</v>
      </c>
      <c r="D347" s="365">
        <f t="shared" si="20"/>
        <v>1.5196078431373383</v>
      </c>
      <c r="E347" s="362">
        <f t="shared" si="21"/>
        <v>0.24571428571428666</v>
      </c>
      <c r="F347" s="364">
        <v>8.7729760219034798</v>
      </c>
      <c r="G347" s="365">
        <f t="shared" si="19"/>
        <v>1.5196078431372495</v>
      </c>
      <c r="H347" s="380">
        <f t="shared" si="22"/>
        <v>0.24571428571428577</v>
      </c>
    </row>
    <row r="348" spans="2:8">
      <c r="B348" s="363">
        <v>32387</v>
      </c>
      <c r="C348" s="364">
        <v>8.1501895810585498</v>
      </c>
      <c r="D348" s="365">
        <f t="shared" si="20"/>
        <v>4.1525832930950246</v>
      </c>
      <c r="E348" s="362">
        <f t="shared" si="21"/>
        <v>0.25992990654205572</v>
      </c>
      <c r="F348" s="364">
        <v>9.1372811584962843</v>
      </c>
      <c r="G348" s="365">
        <f t="shared" si="19"/>
        <v>4.1525832930951134</v>
      </c>
      <c r="H348" s="380">
        <f t="shared" si="22"/>
        <v>0.25992990654205594</v>
      </c>
    </row>
    <row r="349" spans="2:8">
      <c r="B349" s="363">
        <v>32417</v>
      </c>
      <c r="C349" s="364">
        <v>8.3164428687574805</v>
      </c>
      <c r="D349" s="365">
        <f t="shared" si="20"/>
        <v>2.0398701900789185</v>
      </c>
      <c r="E349" s="362">
        <f t="shared" si="21"/>
        <v>0.23478260869565282</v>
      </c>
      <c r="F349" s="364">
        <v>9.3236698330321381</v>
      </c>
      <c r="G349" s="365">
        <f t="shared" si="19"/>
        <v>2.0398701900788074</v>
      </c>
      <c r="H349" s="380">
        <f t="shared" si="22"/>
        <v>0.23478260869565215</v>
      </c>
    </row>
    <row r="350" spans="2:8">
      <c r="B350" s="363">
        <v>32448</v>
      </c>
      <c r="C350" s="364">
        <v>8.36367391639922</v>
      </c>
      <c r="D350" s="365">
        <f t="shared" si="20"/>
        <v>0.56792367105860109</v>
      </c>
      <c r="E350" s="362">
        <f t="shared" si="21"/>
        <v>0.16776576101292684</v>
      </c>
      <c r="F350" s="364">
        <v>9.3766211610252803</v>
      </c>
      <c r="G350" s="365">
        <f t="shared" si="19"/>
        <v>0.56792367105862329</v>
      </c>
      <c r="H350" s="380">
        <f t="shared" si="22"/>
        <v>0.16776576101292551</v>
      </c>
    </row>
    <row r="351" spans="2:8">
      <c r="B351" s="363">
        <v>32478</v>
      </c>
      <c r="C351" s="364">
        <v>8.4222404154749704</v>
      </c>
      <c r="D351" s="365">
        <f t="shared" si="20"/>
        <v>0.70024847526533041</v>
      </c>
      <c r="E351" s="362">
        <f t="shared" si="21"/>
        <v>0.16946484784889715</v>
      </c>
      <c r="F351" s="364">
        <v>9.4422808077367737</v>
      </c>
      <c r="G351" s="365">
        <f t="shared" si="19"/>
        <v>0.70024847526541922</v>
      </c>
      <c r="H351" s="380">
        <f t="shared" si="22"/>
        <v>0.16946484784889826</v>
      </c>
    </row>
    <row r="352" spans="2:8">
      <c r="B352" s="363">
        <v>32509</v>
      </c>
      <c r="C352" s="364">
        <v>8.4996993336074294</v>
      </c>
      <c r="D352" s="365">
        <f t="shared" si="20"/>
        <v>0.919694930462156</v>
      </c>
      <c r="E352" s="362">
        <f t="shared" si="21"/>
        <v>0.16614826334888533</v>
      </c>
      <c r="F352" s="364">
        <v>9.5291209856455215</v>
      </c>
      <c r="G352" s="365">
        <f t="shared" si="19"/>
        <v>0.91969493046206718</v>
      </c>
      <c r="H352" s="380">
        <f t="shared" si="22"/>
        <v>0.16766156241889418</v>
      </c>
    </row>
    <row r="353" spans="2:8">
      <c r="B353" s="363">
        <v>32540</v>
      </c>
      <c r="C353" s="364">
        <v>8.7396330556274595</v>
      </c>
      <c r="D353" s="365">
        <f t="shared" si="20"/>
        <v>2.8228495221159555</v>
      </c>
      <c r="E353" s="362">
        <f t="shared" si="21"/>
        <v>0.15968914514915999</v>
      </c>
      <c r="F353" s="364">
        <v>9.798113731850675</v>
      </c>
      <c r="G353" s="365">
        <f t="shared" si="19"/>
        <v>2.8228495221160443</v>
      </c>
      <c r="H353" s="380">
        <f t="shared" si="22"/>
        <v>0.15046008455608018</v>
      </c>
    </row>
    <row r="354" spans="2:8">
      <c r="B354" s="363">
        <v>32568</v>
      </c>
      <c r="C354" s="364">
        <v>8.9039971014207193</v>
      </c>
      <c r="D354" s="365">
        <f t="shared" si="20"/>
        <v>1.8806744487679161</v>
      </c>
      <c r="E354" s="362">
        <f t="shared" si="21"/>
        <v>0.21437773769647017</v>
      </c>
      <c r="F354" s="364">
        <v>9.982384353266804</v>
      </c>
      <c r="G354" s="365">
        <f t="shared" si="19"/>
        <v>1.8806744487678495</v>
      </c>
      <c r="H354" s="380">
        <f t="shared" si="22"/>
        <v>0.23280146481820552</v>
      </c>
    </row>
    <row r="355" spans="2:8">
      <c r="B355" s="363">
        <v>32599</v>
      </c>
      <c r="C355" s="364">
        <v>8.9210002785717393</v>
      </c>
      <c r="D355" s="365">
        <f t="shared" si="20"/>
        <v>0.19096117122845424</v>
      </c>
      <c r="E355" s="362">
        <f t="shared" si="21"/>
        <v>0.19847715736040628</v>
      </c>
      <c r="F355" s="364">
        <v>10.001446831344333</v>
      </c>
      <c r="G355" s="365">
        <f t="shared" si="19"/>
        <v>0.19096117122849865</v>
      </c>
      <c r="H355" s="380">
        <f t="shared" si="22"/>
        <v>0.21889519876097063</v>
      </c>
    </row>
    <row r="356" spans="2:8">
      <c r="B356" s="363">
        <v>32629</v>
      </c>
      <c r="C356" s="364">
        <v>9.1288168881954004</v>
      </c>
      <c r="D356" s="365">
        <f t="shared" si="20"/>
        <v>2.3295213892419397</v>
      </c>
      <c r="E356" s="362">
        <f t="shared" si="21"/>
        <v>0.23328228688106289</v>
      </c>
      <c r="F356" s="364">
        <v>10.234432674514151</v>
      </c>
      <c r="G356" s="365">
        <f t="shared" si="19"/>
        <v>2.3295213892418509</v>
      </c>
      <c r="H356" s="380">
        <f t="shared" si="22"/>
        <v>0.23328228688106178</v>
      </c>
    </row>
    <row r="357" spans="2:8">
      <c r="B357" s="363">
        <v>32660</v>
      </c>
      <c r="C357" s="364">
        <v>9.6067950903298005</v>
      </c>
      <c r="D357" s="365">
        <f t="shared" si="20"/>
        <v>5.235927152317843</v>
      </c>
      <c r="E357" s="362">
        <f t="shared" si="21"/>
        <v>0.37804878048780477</v>
      </c>
      <c r="F357" s="364">
        <v>10.770300113804732</v>
      </c>
      <c r="G357" s="365">
        <f t="shared" si="19"/>
        <v>5.2359271523178874</v>
      </c>
      <c r="H357" s="380">
        <f t="shared" si="22"/>
        <v>0.28409090909090917</v>
      </c>
    </row>
    <row r="358" spans="2:8">
      <c r="B358" s="363">
        <v>32690</v>
      </c>
      <c r="C358" s="364">
        <v>9.9884219552750508</v>
      </c>
      <c r="D358" s="365">
        <f t="shared" si="20"/>
        <v>3.9724680432644544</v>
      </c>
      <c r="E358" s="362">
        <f t="shared" si="21"/>
        <v>0.29583333333333361</v>
      </c>
      <c r="F358" s="364">
        <v>11.19602879086958</v>
      </c>
      <c r="G358" s="365">
        <f t="shared" si="19"/>
        <v>3.9528023598820017</v>
      </c>
      <c r="H358" s="380">
        <f t="shared" si="22"/>
        <v>0.29558823529411771</v>
      </c>
    </row>
    <row r="359" spans="2:8">
      <c r="B359" s="363">
        <v>32721</v>
      </c>
      <c r="C359" s="364">
        <v>10.3681595783146</v>
      </c>
      <c r="D359" s="365">
        <f t="shared" si="20"/>
        <v>3.801777945904683</v>
      </c>
      <c r="E359" s="362">
        <f t="shared" si="21"/>
        <v>0.32496378561081074</v>
      </c>
      <c r="F359" s="364">
        <v>11.621757467934428</v>
      </c>
      <c r="G359" s="365">
        <f t="shared" si="19"/>
        <v>3.8024971623155546</v>
      </c>
      <c r="H359" s="380">
        <f t="shared" si="22"/>
        <v>0.32472235634958979</v>
      </c>
    </row>
    <row r="360" spans="2:8">
      <c r="B360" s="363">
        <v>32752</v>
      </c>
      <c r="C360" s="364">
        <v>10.7611218946939</v>
      </c>
      <c r="D360" s="365">
        <f t="shared" si="20"/>
        <v>3.7900874635571347</v>
      </c>
      <c r="E360" s="362">
        <f t="shared" si="21"/>
        <v>0.32035234121464962</v>
      </c>
      <c r="F360" s="364">
        <v>12.062312516837354</v>
      </c>
      <c r="G360" s="365">
        <f t="shared" si="19"/>
        <v>3.7907782030253134</v>
      </c>
      <c r="H360" s="380">
        <f t="shared" si="22"/>
        <v>0.32012053778395932</v>
      </c>
    </row>
    <row r="361" spans="2:8">
      <c r="B361" s="363">
        <v>32782</v>
      </c>
      <c r="C361" s="364">
        <v>10.706333879429501</v>
      </c>
      <c r="D361" s="365">
        <f t="shared" si="20"/>
        <v>-0.5091292134829839</v>
      </c>
      <c r="E361" s="362">
        <f t="shared" si="21"/>
        <v>0.28736937755565717</v>
      </c>
      <c r="F361" s="364">
        <v>12.003007029485039</v>
      </c>
      <c r="G361" s="365">
        <f t="shared" si="19"/>
        <v>-0.49165935030727193</v>
      </c>
      <c r="H361" s="380">
        <f t="shared" si="22"/>
        <v>0.28736937755565695</v>
      </c>
    </row>
    <row r="362" spans="2:8">
      <c r="B362" s="363">
        <v>32813</v>
      </c>
      <c r="C362" s="364">
        <v>10.819688393769701</v>
      </c>
      <c r="D362" s="365">
        <f t="shared" si="20"/>
        <v>1.0587612493385024</v>
      </c>
      <c r="E362" s="362">
        <f t="shared" si="21"/>
        <v>0.29365258640162994</v>
      </c>
      <c r="F362" s="364">
        <v>12.130090216668576</v>
      </c>
      <c r="G362" s="365">
        <f t="shared" si="19"/>
        <v>1.0587612493382803</v>
      </c>
      <c r="H362" s="380">
        <f t="shared" si="22"/>
        <v>0.29365258640162639</v>
      </c>
    </row>
    <row r="363" spans="2:8">
      <c r="B363" s="363">
        <v>32843</v>
      </c>
      <c r="C363" s="364">
        <v>10.825356119486701</v>
      </c>
      <c r="D363" s="365">
        <f t="shared" si="20"/>
        <v>5.2383446830717162E-2</v>
      </c>
      <c r="E363" s="362">
        <f t="shared" si="21"/>
        <v>0.28532974427994962</v>
      </c>
      <c r="F363" s="364">
        <v>12.13644437602775</v>
      </c>
      <c r="G363" s="365">
        <f t="shared" si="19"/>
        <v>5.2383446830783775E-2</v>
      </c>
      <c r="H363" s="380">
        <f t="shared" si="22"/>
        <v>0.28532974427994606</v>
      </c>
    </row>
    <row r="364" spans="2:8">
      <c r="B364" s="363">
        <v>32874</v>
      </c>
      <c r="C364" s="364">
        <v>11.1276348243938</v>
      </c>
      <c r="D364" s="365">
        <f t="shared" si="20"/>
        <v>2.7923211169281315</v>
      </c>
      <c r="E364" s="362">
        <f t="shared" si="21"/>
        <v>0.30917981773727354</v>
      </c>
      <c r="F364" s="364">
        <v>12.562173053092598</v>
      </c>
      <c r="G364" s="365">
        <f t="shared" si="19"/>
        <v>3.50785340314137</v>
      </c>
      <c r="H364" s="380">
        <f t="shared" si="22"/>
        <v>0.31829295398977586</v>
      </c>
    </row>
    <row r="365" spans="2:8">
      <c r="B365" s="363">
        <v>32905</v>
      </c>
      <c r="C365" s="364">
        <v>11.5810528817545</v>
      </c>
      <c r="D365" s="365">
        <f t="shared" si="20"/>
        <v>4.074702886247894</v>
      </c>
      <c r="E365" s="362">
        <f t="shared" si="21"/>
        <v>0.32511889321227816</v>
      </c>
      <c r="F365" s="364">
        <v>13.066269695587293</v>
      </c>
      <c r="G365" s="365">
        <f t="shared" si="19"/>
        <v>4.0128140279885205</v>
      </c>
      <c r="H365" s="380">
        <f t="shared" si="22"/>
        <v>0.33354950281020335</v>
      </c>
    </row>
    <row r="366" spans="2:8">
      <c r="B366" s="363">
        <v>32933</v>
      </c>
      <c r="C366" s="364">
        <v>11.9777936819451</v>
      </c>
      <c r="D366" s="365">
        <f t="shared" si="20"/>
        <v>3.425774877650789</v>
      </c>
      <c r="E366" s="362">
        <f t="shared" si="21"/>
        <v>0.34521536176532752</v>
      </c>
      <c r="F366" s="364">
        <v>13.511060850729672</v>
      </c>
      <c r="G366" s="365">
        <f t="shared" si="19"/>
        <v>3.4041173609985487</v>
      </c>
      <c r="H366" s="380">
        <f t="shared" si="22"/>
        <v>0.35349034585189898</v>
      </c>
    </row>
    <row r="367" spans="2:8">
      <c r="B367" s="363">
        <v>32964</v>
      </c>
      <c r="C367" s="364">
        <v>12.393426901192401</v>
      </c>
      <c r="D367" s="365">
        <f t="shared" si="20"/>
        <v>3.4700315457412811</v>
      </c>
      <c r="E367" s="362">
        <f t="shared" si="21"/>
        <v>0.38924184667513551</v>
      </c>
      <c r="F367" s="364">
        <v>14.000331121386287</v>
      </c>
      <c r="G367" s="365">
        <f t="shared" si="19"/>
        <v>3.6212572503527163</v>
      </c>
      <c r="H367" s="380">
        <f t="shared" si="22"/>
        <v>0.39983058026260054</v>
      </c>
    </row>
    <row r="368" spans="2:8">
      <c r="B368" s="363">
        <v>32994</v>
      </c>
      <c r="C368" s="364">
        <v>12.733490444212901</v>
      </c>
      <c r="D368" s="365">
        <f t="shared" si="20"/>
        <v>2.7439024390242039</v>
      </c>
      <c r="E368" s="362">
        <f t="shared" si="21"/>
        <v>0.39486754966886828</v>
      </c>
      <c r="F368" s="364">
        <v>14.364636257979095</v>
      </c>
      <c r="G368" s="365">
        <f t="shared" si="19"/>
        <v>2.602118003025744</v>
      </c>
      <c r="H368" s="380">
        <f t="shared" si="22"/>
        <v>0.40355960264900692</v>
      </c>
    </row>
    <row r="369" spans="2:8">
      <c r="B369" s="363">
        <v>33025</v>
      </c>
      <c r="C369" s="364">
        <v>13.149123663460299</v>
      </c>
      <c r="D369" s="365">
        <f t="shared" si="20"/>
        <v>3.2640949554903376</v>
      </c>
      <c r="E369" s="362">
        <f t="shared" si="21"/>
        <v>0.36873156342183333</v>
      </c>
      <c r="F369" s="364">
        <v>14.85390652863571</v>
      </c>
      <c r="G369" s="365">
        <f t="shared" si="19"/>
        <v>3.4060749041580518</v>
      </c>
      <c r="H369" s="380">
        <f t="shared" si="22"/>
        <v>0.37915437561455256</v>
      </c>
    </row>
    <row r="370" spans="2:8">
      <c r="B370" s="363">
        <v>33055</v>
      </c>
      <c r="C370" s="364">
        <v>13.5080796255375</v>
      </c>
      <c r="D370" s="365">
        <f t="shared" si="20"/>
        <v>2.7298850574711153</v>
      </c>
      <c r="E370" s="362">
        <f t="shared" si="21"/>
        <v>0.35237374692642609</v>
      </c>
      <c r="F370" s="364">
        <v>15.243628302665222</v>
      </c>
      <c r="G370" s="365">
        <f t="shared" si="19"/>
        <v>2.6236988450021315</v>
      </c>
      <c r="H370" s="380">
        <f t="shared" si="22"/>
        <v>0.36152099886492617</v>
      </c>
    </row>
    <row r="371" spans="2:8">
      <c r="B371" s="363">
        <v>33086</v>
      </c>
      <c r="C371" s="364">
        <v>13.9803901019549</v>
      </c>
      <c r="D371" s="365">
        <f t="shared" si="20"/>
        <v>3.4965034965035224</v>
      </c>
      <c r="E371" s="362">
        <f t="shared" si="21"/>
        <v>0.34839650145773371</v>
      </c>
      <c r="F371" s="364">
        <v>15.783731848195252</v>
      </c>
      <c r="G371" s="365">
        <f t="shared" si="19"/>
        <v>3.543142976240099</v>
      </c>
      <c r="H371" s="380">
        <f t="shared" si="22"/>
        <v>0.3581191908146526</v>
      </c>
    </row>
    <row r="372" spans="2:8">
      <c r="B372" s="363">
        <v>33117</v>
      </c>
      <c r="C372" s="364">
        <v>14.490485416485701</v>
      </c>
      <c r="D372" s="365">
        <f t="shared" si="20"/>
        <v>3.6486486486487557</v>
      </c>
      <c r="E372" s="362">
        <f t="shared" si="21"/>
        <v>0.34655898876405034</v>
      </c>
      <c r="F372" s="364">
        <v>16.355606190521168</v>
      </c>
      <c r="G372" s="365">
        <f t="shared" si="19"/>
        <v>3.6231884057971175</v>
      </c>
      <c r="H372" s="380">
        <f t="shared" si="22"/>
        <v>0.35592625109745413</v>
      </c>
    </row>
    <row r="373" spans="2:8">
      <c r="B373" s="363">
        <v>33147</v>
      </c>
      <c r="C373" s="364">
        <v>15.189504921583399</v>
      </c>
      <c r="D373" s="365">
        <f t="shared" si="20"/>
        <v>4.823989569751963</v>
      </c>
      <c r="E373" s="362">
        <f t="shared" si="21"/>
        <v>0.41874007411328651</v>
      </c>
      <c r="F373" s="364">
        <v>17.137167791699916</v>
      </c>
      <c r="G373" s="365">
        <f t="shared" ref="G373:G436" si="23">+((F373/F372)-1)*100</f>
        <v>4.7785547785547555</v>
      </c>
      <c r="H373" s="380">
        <f t="shared" si="22"/>
        <v>0.4277395447326624</v>
      </c>
    </row>
    <row r="374" spans="2:8">
      <c r="B374" s="363">
        <v>33178</v>
      </c>
      <c r="C374" s="364">
        <v>15.321751854980301</v>
      </c>
      <c r="D374" s="365">
        <f t="shared" si="20"/>
        <v>0.87064676616936953</v>
      </c>
      <c r="E374" s="362">
        <f t="shared" si="21"/>
        <v>0.41609917932599827</v>
      </c>
      <c r="F374" s="364">
        <v>17.302375935038512</v>
      </c>
      <c r="G374" s="365">
        <f t="shared" si="23"/>
        <v>0.96403411197625299</v>
      </c>
      <c r="H374" s="380">
        <f t="shared" si="22"/>
        <v>0.42640125720272337</v>
      </c>
    </row>
    <row r="375" spans="2:8">
      <c r="B375" s="363">
        <v>33208</v>
      </c>
      <c r="C375" s="364">
        <v>15.4917836264905</v>
      </c>
      <c r="D375" s="365">
        <f t="shared" si="20"/>
        <v>1.109741060418834</v>
      </c>
      <c r="E375" s="362">
        <f t="shared" si="21"/>
        <v>0.43106457242582286</v>
      </c>
      <c r="F375" s="364">
        <v>17.484528503334918</v>
      </c>
      <c r="G375" s="365">
        <f t="shared" si="23"/>
        <v>1.0527604357938758</v>
      </c>
      <c r="H375" s="380">
        <f t="shared" si="22"/>
        <v>0.44066317626527041</v>
      </c>
    </row>
    <row r="376" spans="2:8">
      <c r="B376" s="363">
        <v>33239</v>
      </c>
      <c r="C376" s="364">
        <v>15.8129547504544</v>
      </c>
      <c r="D376" s="365">
        <f>+((C376/C375)-1)*100</f>
        <v>2.0731707317077852</v>
      </c>
      <c r="E376" s="362">
        <f t="shared" ref="E376:E391" si="24">+(C376/C364)-1</f>
        <v>0.42105263157895223</v>
      </c>
      <c r="F376" s="364">
        <v>17.855187799286899</v>
      </c>
      <c r="G376" s="365">
        <f>+((F376/F375)-1)*100</f>
        <v>2.1199273167777033</v>
      </c>
      <c r="H376" s="380">
        <f t="shared" ref="H376:H391" si="25">+(F376/F364)-1</f>
        <v>0.42134547293879598</v>
      </c>
    </row>
    <row r="377" spans="2:8">
      <c r="B377" s="363">
        <v>33270</v>
      </c>
      <c r="C377" s="364">
        <v>16.115233455361501</v>
      </c>
      <c r="D377" s="365">
        <f>+((C377/C376)-1)*100</f>
        <v>1.9115890083629905</v>
      </c>
      <c r="E377" s="362">
        <f t="shared" si="24"/>
        <v>0.39151712887438994</v>
      </c>
      <c r="F377" s="364">
        <v>18.183486032844367</v>
      </c>
      <c r="G377" s="365">
        <f>+((F377/F376)-1)*100</f>
        <v>1.8386714116251479</v>
      </c>
      <c r="H377" s="380">
        <f t="shared" si="25"/>
        <v>0.3916355973415464</v>
      </c>
    </row>
    <row r="378" spans="2:8">
      <c r="B378" s="363">
        <v>33298</v>
      </c>
      <c r="C378" s="364">
        <v>16.398619741211899</v>
      </c>
      <c r="D378" s="365">
        <f>+((C378/C377)-1)*100</f>
        <v>1.758499413833281</v>
      </c>
      <c r="E378" s="362">
        <f t="shared" si="24"/>
        <v>0.36908517350157699</v>
      </c>
      <c r="F378" s="364">
        <v>18.520256478880739</v>
      </c>
      <c r="G378" s="365">
        <f>+((F378/F377)-1)*100</f>
        <v>1.8520675596971348</v>
      </c>
      <c r="H378" s="380">
        <f t="shared" si="25"/>
        <v>0.37074776610754023</v>
      </c>
    </row>
    <row r="379" spans="2:8">
      <c r="B379" s="363">
        <v>33329</v>
      </c>
      <c r="C379" s="364">
        <v>16.341942484041802</v>
      </c>
      <c r="D379" s="365">
        <f>+((C379/C378)-1)*100</f>
        <v>-0.34562211981572499</v>
      </c>
      <c r="E379" s="362">
        <f t="shared" si="24"/>
        <v>0.3185975609756091</v>
      </c>
      <c r="F379" s="364">
        <v>18.444006566570618</v>
      </c>
      <c r="G379" s="365">
        <f>+((F379/F378)-1)*100</f>
        <v>-0.41171088746568829</v>
      </c>
      <c r="H379" s="380">
        <f t="shared" si="25"/>
        <v>0.31739788199697427</v>
      </c>
    </row>
    <row r="380" spans="2:8">
      <c r="B380" s="363">
        <v>33359</v>
      </c>
      <c r="C380" s="364">
        <v>16.474189417438701</v>
      </c>
      <c r="D380" s="365">
        <f>+((C380/C379)-1)*100</f>
        <v>0.80924855491346648</v>
      </c>
      <c r="E380" s="362">
        <f t="shared" si="24"/>
        <v>0.29376854599406932</v>
      </c>
      <c r="F380" s="364">
        <v>18.588034178711961</v>
      </c>
      <c r="G380" s="365">
        <f>+((F380/F379)-1)*100</f>
        <v>0.78089113458890136</v>
      </c>
      <c r="H380" s="380">
        <f t="shared" si="25"/>
        <v>0.29401356531996448</v>
      </c>
    </row>
    <row r="381" spans="2:8">
      <c r="B381" s="363">
        <v>33390</v>
      </c>
      <c r="C381" s="364">
        <v>16.474189417438701</v>
      </c>
      <c r="D381" s="365">
        <f t="shared" si="20"/>
        <v>0</v>
      </c>
      <c r="E381" s="362">
        <f t="shared" si="24"/>
        <v>0.25287356321838583</v>
      </c>
      <c r="F381" s="364">
        <v>18.596506391190864</v>
      </c>
      <c r="G381" s="365">
        <f t="shared" si="23"/>
        <v>4.5578851412941823E-2</v>
      </c>
      <c r="H381" s="380">
        <f t="shared" si="25"/>
        <v>0.25196064451732503</v>
      </c>
    </row>
    <row r="382" spans="2:8">
      <c r="B382" s="363">
        <v>33420</v>
      </c>
      <c r="C382" s="364">
        <v>16.568651512722202</v>
      </c>
      <c r="D382" s="365">
        <f t="shared" si="20"/>
        <v>0.57339449541298215</v>
      </c>
      <c r="E382" s="362">
        <f t="shared" si="24"/>
        <v>0.22657342657342516</v>
      </c>
      <c r="F382" s="364">
        <v>18.708763206536318</v>
      </c>
      <c r="G382" s="365">
        <f t="shared" si="23"/>
        <v>0.6036446469248169</v>
      </c>
      <c r="H382" s="380">
        <f t="shared" si="25"/>
        <v>0.22731693761289407</v>
      </c>
    </row>
    <row r="383" spans="2:8">
      <c r="B383" s="363">
        <v>33451</v>
      </c>
      <c r="C383" s="364">
        <v>16.852037798572599</v>
      </c>
      <c r="D383" s="365">
        <f t="shared" si="20"/>
        <v>1.7103762827819669</v>
      </c>
      <c r="E383" s="362">
        <f t="shared" si="24"/>
        <v>0.20540540540540086</v>
      </c>
      <c r="F383" s="364">
        <v>19.020117015135984</v>
      </c>
      <c r="G383" s="365">
        <f t="shared" si="23"/>
        <v>1.6642137439148774</v>
      </c>
      <c r="H383" s="380">
        <f t="shared" si="25"/>
        <v>0.20504562533548021</v>
      </c>
    </row>
    <row r="384" spans="2:8">
      <c r="B384" s="363">
        <v>33482</v>
      </c>
      <c r="C384" s="364">
        <v>17.0409619891396</v>
      </c>
      <c r="D384" s="365">
        <f t="shared" si="20"/>
        <v>1.1210762331841151</v>
      </c>
      <c r="E384" s="362">
        <f t="shared" si="24"/>
        <v>0.17601043024771568</v>
      </c>
      <c r="F384" s="364">
        <v>19.240394539587449</v>
      </c>
      <c r="G384" s="365">
        <f t="shared" si="23"/>
        <v>1.158129175946554</v>
      </c>
      <c r="H384" s="380">
        <f t="shared" si="25"/>
        <v>0.17637917637917622</v>
      </c>
    </row>
    <row r="385" spans="2:8">
      <c r="B385" s="363">
        <v>33512</v>
      </c>
      <c r="C385" s="364">
        <v>17.229886179706501</v>
      </c>
      <c r="D385" s="365">
        <f t="shared" si="20"/>
        <v>1.1086474501105226</v>
      </c>
      <c r="E385" s="362">
        <f t="shared" si="24"/>
        <v>0.1343283582089525</v>
      </c>
      <c r="F385" s="364">
        <v>19.44796374532056</v>
      </c>
      <c r="G385" s="365">
        <f t="shared" si="23"/>
        <v>1.0788199031263934</v>
      </c>
      <c r="H385" s="380">
        <f t="shared" si="25"/>
        <v>0.13484118155975788</v>
      </c>
    </row>
    <row r="386" spans="2:8">
      <c r="B386" s="363">
        <v>33543</v>
      </c>
      <c r="C386" s="364">
        <v>17.3621331131034</v>
      </c>
      <c r="D386" s="365">
        <f t="shared" si="20"/>
        <v>0.76754385964930005</v>
      </c>
      <c r="E386" s="362">
        <f t="shared" si="24"/>
        <v>0.13316892725030516</v>
      </c>
      <c r="F386" s="364">
        <v>19.60258162306053</v>
      </c>
      <c r="G386" s="365">
        <f t="shared" si="23"/>
        <v>0.79503376170768636</v>
      </c>
      <c r="H386" s="380">
        <f t="shared" si="25"/>
        <v>0.13294160852001502</v>
      </c>
    </row>
    <row r="387" spans="2:8">
      <c r="B387" s="363">
        <v>33573</v>
      </c>
      <c r="C387" s="364">
        <v>17.324348274990001</v>
      </c>
      <c r="D387" s="365">
        <f t="shared" si="20"/>
        <v>-0.21762785636566528</v>
      </c>
      <c r="E387" s="362">
        <f t="shared" si="24"/>
        <v>0.11829268292683026</v>
      </c>
      <c r="F387" s="364">
        <v>19.549630295067388</v>
      </c>
      <c r="G387" s="365">
        <f t="shared" si="23"/>
        <v>-0.27012425715829957</v>
      </c>
      <c r="H387" s="380">
        <f t="shared" si="25"/>
        <v>0.11811023622047245</v>
      </c>
    </row>
    <row r="388" spans="2:8">
      <c r="B388" s="363">
        <v>33604</v>
      </c>
      <c r="C388" s="364">
        <v>17.8533360085775</v>
      </c>
      <c r="D388" s="365">
        <f t="shared" si="20"/>
        <v>3.0534351145039107</v>
      </c>
      <c r="E388" s="362">
        <f t="shared" si="24"/>
        <v>0.12903225806451313</v>
      </c>
      <c r="F388" s="364">
        <v>20.155393487308913</v>
      </c>
      <c r="G388" s="365">
        <f t="shared" si="23"/>
        <v>3.0985915492957705</v>
      </c>
      <c r="H388" s="380">
        <f t="shared" si="25"/>
        <v>0.12882562277580067</v>
      </c>
    </row>
    <row r="389" spans="2:8">
      <c r="B389" s="363">
        <v>33635</v>
      </c>
      <c r="C389" s="364">
        <v>18.3067540659382</v>
      </c>
      <c r="D389" s="365">
        <f t="shared" ref="D389:D452" si="26">+((C389/C388)-1)*100</f>
        <v>2.5396825396825529</v>
      </c>
      <c r="E389" s="362">
        <f t="shared" si="24"/>
        <v>0.13599062133645878</v>
      </c>
      <c r="F389" s="364">
        <v>20.655254023564158</v>
      </c>
      <c r="G389" s="365">
        <f t="shared" si="23"/>
        <v>2.4800336275746071</v>
      </c>
      <c r="H389" s="380">
        <f t="shared" si="25"/>
        <v>0.13593476994758324</v>
      </c>
    </row>
    <row r="390" spans="2:8">
      <c r="B390" s="363">
        <v>33664</v>
      </c>
      <c r="C390" s="364">
        <v>18.382323742164999</v>
      </c>
      <c r="D390" s="365">
        <f t="shared" si="26"/>
        <v>0.41279669762650517</v>
      </c>
      <c r="E390" s="362">
        <f t="shared" si="24"/>
        <v>0.12096774193548687</v>
      </c>
      <c r="F390" s="364">
        <v>20.748448360832086</v>
      </c>
      <c r="G390" s="365">
        <f t="shared" si="23"/>
        <v>0.45118949958982135</v>
      </c>
      <c r="H390" s="380">
        <f t="shared" si="25"/>
        <v>0.12031107044830769</v>
      </c>
    </row>
    <row r="391" spans="2:8">
      <c r="B391" s="363">
        <v>33695</v>
      </c>
      <c r="C391" s="364">
        <v>18.420108580278399</v>
      </c>
      <c r="D391" s="365">
        <f t="shared" si="26"/>
        <v>0.20554984583764924</v>
      </c>
      <c r="E391" s="362">
        <f t="shared" si="24"/>
        <v>0.12716763005780751</v>
      </c>
      <c r="F391" s="364">
        <v>20.801399688825224</v>
      </c>
      <c r="G391" s="365">
        <f t="shared" si="23"/>
        <v>0.25520620661494409</v>
      </c>
      <c r="H391" s="380">
        <f t="shared" si="25"/>
        <v>0.12781350482315124</v>
      </c>
    </row>
    <row r="392" spans="2:8">
      <c r="B392" s="363">
        <v>33725</v>
      </c>
      <c r="C392" s="364">
        <v>18.646817608958699</v>
      </c>
      <c r="D392" s="365">
        <f t="shared" si="26"/>
        <v>1.2307692307689688</v>
      </c>
      <c r="E392" s="362">
        <f t="shared" si="21"/>
        <v>0.13188073394495325</v>
      </c>
      <c r="F392" s="364">
        <v>21.049211903833122</v>
      </c>
      <c r="G392" s="365">
        <f t="shared" si="23"/>
        <v>1.1913247123510828</v>
      </c>
      <c r="H392" s="380">
        <f t="shared" si="22"/>
        <v>0.13240656335460343</v>
      </c>
    </row>
    <row r="393" spans="2:8">
      <c r="B393" s="363">
        <v>33756</v>
      </c>
      <c r="C393" s="364">
        <v>18.911311475752498</v>
      </c>
      <c r="D393" s="365">
        <f t="shared" si="26"/>
        <v>1.4184397163123696</v>
      </c>
      <c r="E393" s="362">
        <f t="shared" si="21"/>
        <v>0.1479357798165164</v>
      </c>
      <c r="F393" s="364">
        <v>21.343621287474981</v>
      </c>
      <c r="G393" s="365">
        <f t="shared" si="23"/>
        <v>1.3986717649426383</v>
      </c>
      <c r="H393" s="380">
        <f t="shared" si="22"/>
        <v>0.1477220956719818</v>
      </c>
    </row>
    <row r="394" spans="2:8">
      <c r="B394" s="363">
        <v>33786</v>
      </c>
      <c r="C394" s="364">
        <v>19.440299209339901</v>
      </c>
      <c r="D394" s="365">
        <f t="shared" si="26"/>
        <v>2.7972027972023694</v>
      </c>
      <c r="E394" s="362">
        <f t="shared" si="21"/>
        <v>0.17331812998859397</v>
      </c>
      <c r="F394" s="364">
        <v>21.940912267237604</v>
      </c>
      <c r="G394" s="365">
        <f t="shared" si="23"/>
        <v>2.798451920214351</v>
      </c>
      <c r="H394" s="380">
        <f t="shared" si="22"/>
        <v>0.17276123627306705</v>
      </c>
    </row>
    <row r="395" spans="2:8">
      <c r="B395" s="363">
        <v>33817</v>
      </c>
      <c r="C395" s="364">
        <v>19.667008238020301</v>
      </c>
      <c r="D395" s="365">
        <f t="shared" si="26"/>
        <v>1.1661807580177541</v>
      </c>
      <c r="E395" s="362">
        <f t="shared" si="21"/>
        <v>0.16704035874439671</v>
      </c>
      <c r="F395" s="364">
        <v>22.199314747844124</v>
      </c>
      <c r="G395" s="365">
        <f t="shared" si="23"/>
        <v>1.1777198571290448</v>
      </c>
      <c r="H395" s="380">
        <f t="shared" si="22"/>
        <v>0.1671492204899776</v>
      </c>
    </row>
    <row r="396" spans="2:8">
      <c r="B396" s="363">
        <v>33848</v>
      </c>
      <c r="C396" s="364">
        <v>19.893717266700602</v>
      </c>
      <c r="D396" s="365">
        <f t="shared" si="26"/>
        <v>1.1527377521611371</v>
      </c>
      <c r="E396" s="362">
        <f t="shared" si="21"/>
        <v>0.16740576496673687</v>
      </c>
      <c r="F396" s="364">
        <v>22.449245015971751</v>
      </c>
      <c r="G396" s="365">
        <f t="shared" si="23"/>
        <v>1.1258467703463726</v>
      </c>
      <c r="H396" s="380">
        <f t="shared" si="22"/>
        <v>0.16677675033025108</v>
      </c>
    </row>
    <row r="397" spans="2:8">
      <c r="B397" s="363">
        <v>33878</v>
      </c>
      <c r="C397" s="364">
        <v>20.0070717810408</v>
      </c>
      <c r="D397" s="365">
        <f t="shared" si="26"/>
        <v>0.5698005698006936</v>
      </c>
      <c r="E397" s="362">
        <f t="shared" si="21"/>
        <v>0.16118421052631748</v>
      </c>
      <c r="F397" s="364">
        <v>22.591154574993364</v>
      </c>
      <c r="G397" s="365">
        <f t="shared" si="23"/>
        <v>0.63213510708555187</v>
      </c>
      <c r="H397" s="380">
        <f t="shared" si="22"/>
        <v>0.16162056196906982</v>
      </c>
    </row>
    <row r="398" spans="2:8">
      <c r="B398" s="363">
        <v>33909</v>
      </c>
      <c r="C398" s="364">
        <v>20.309350485947899</v>
      </c>
      <c r="D398" s="365">
        <f t="shared" si="26"/>
        <v>1.5108593012274074</v>
      </c>
      <c r="E398" s="362">
        <f t="shared" si="21"/>
        <v>0.16974972796517718</v>
      </c>
      <c r="F398" s="364">
        <v>22.930043074149463</v>
      </c>
      <c r="G398" s="365">
        <f t="shared" si="23"/>
        <v>1.5000937558597549</v>
      </c>
      <c r="H398" s="380">
        <f t="shared" si="22"/>
        <v>0.16974608319827111</v>
      </c>
    </row>
    <row r="399" spans="2:8">
      <c r="B399" s="363">
        <v>33939</v>
      </c>
      <c r="C399" s="364">
        <v>20.403812581231399</v>
      </c>
      <c r="D399" s="365">
        <f t="shared" si="26"/>
        <v>0.46511627906986597</v>
      </c>
      <c r="E399" s="362">
        <f t="shared" si="21"/>
        <v>0.17775354416575739</v>
      </c>
      <c r="F399" s="364">
        <v>23.031709623896298</v>
      </c>
      <c r="G399" s="365">
        <f t="shared" si="23"/>
        <v>0.44337705523740389</v>
      </c>
      <c r="H399" s="380">
        <f t="shared" si="22"/>
        <v>0.17811484290357549</v>
      </c>
    </row>
    <row r="400" spans="2:8">
      <c r="B400" s="363">
        <v>33970</v>
      </c>
      <c r="C400" s="364">
        <v>21.008369991045701</v>
      </c>
      <c r="D400" s="365">
        <f t="shared" si="26"/>
        <v>2.9629629629631449</v>
      </c>
      <c r="E400" s="362">
        <f t="shared" si="21"/>
        <v>0.17671957671957705</v>
      </c>
      <c r="F400" s="364">
        <v>23.709486622208491</v>
      </c>
      <c r="G400" s="365">
        <f t="shared" si="23"/>
        <v>2.9427993378701389</v>
      </c>
      <c r="H400" s="380">
        <f t="shared" si="22"/>
        <v>0.1763345943673813</v>
      </c>
    </row>
    <row r="401" spans="2:8">
      <c r="B401" s="363">
        <v>34001</v>
      </c>
      <c r="C401" s="364">
        <v>21.518465305576498</v>
      </c>
      <c r="D401" s="365">
        <f t="shared" si="26"/>
        <v>2.4280575539568972</v>
      </c>
      <c r="E401" s="362">
        <f t="shared" ref="E401:E464" si="27">+(C401/C389)-1</f>
        <v>0.17543859649122906</v>
      </c>
      <c r="F401" s="364">
        <v>24.28771512389358</v>
      </c>
      <c r="G401" s="365">
        <f t="shared" si="23"/>
        <v>2.4388065034840034</v>
      </c>
      <c r="H401" s="380">
        <f t="shared" ref="H401:H464" si="28">+(F401/F389)-1</f>
        <v>0.17586136177194422</v>
      </c>
    </row>
    <row r="402" spans="2:8">
      <c r="B402" s="363">
        <v>34029</v>
      </c>
      <c r="C402" s="364">
        <v>21.688497077086701</v>
      </c>
      <c r="D402" s="365">
        <f t="shared" si="26"/>
        <v>0.79016681299357572</v>
      </c>
      <c r="E402" s="362">
        <f t="shared" si="27"/>
        <v>0.17985611510791033</v>
      </c>
      <c r="F402" s="364">
        <v>24.478339904668886</v>
      </c>
      <c r="G402" s="365">
        <f t="shared" si="23"/>
        <v>0.78486090520624163</v>
      </c>
      <c r="H402" s="380">
        <f t="shared" si="28"/>
        <v>0.17976725193956722</v>
      </c>
    </row>
    <row r="403" spans="2:8">
      <c r="B403" s="363">
        <v>34060</v>
      </c>
      <c r="C403" s="364">
        <v>22.028560620107299</v>
      </c>
      <c r="D403" s="365">
        <f t="shared" si="26"/>
        <v>1.5679442508714336</v>
      </c>
      <c r="E403" s="362">
        <f t="shared" si="27"/>
        <v>0.19589743589743613</v>
      </c>
      <c r="F403" s="364">
        <v>24.859589466219497</v>
      </c>
      <c r="G403" s="365">
        <f t="shared" si="23"/>
        <v>1.5574976204897562</v>
      </c>
      <c r="H403" s="380">
        <f t="shared" si="28"/>
        <v>0.19509214947561349</v>
      </c>
    </row>
    <row r="404" spans="2:8">
      <c r="B404" s="363">
        <v>34090</v>
      </c>
      <c r="C404" s="364">
        <v>22.330839325014399</v>
      </c>
      <c r="D404" s="365">
        <f t="shared" si="26"/>
        <v>1.3722126929672562</v>
      </c>
      <c r="E404" s="362">
        <f t="shared" si="27"/>
        <v>0.19756838905775242</v>
      </c>
      <c r="F404" s="364">
        <v>25.204832124734768</v>
      </c>
      <c r="G404" s="365">
        <f t="shared" si="23"/>
        <v>1.3887705546562046</v>
      </c>
      <c r="H404" s="380">
        <f t="shared" si="28"/>
        <v>0.19742402897967382</v>
      </c>
    </row>
    <row r="405" spans="2:8">
      <c r="B405" s="363">
        <v>34121</v>
      </c>
      <c r="C405" s="364">
        <v>22.425301420297899</v>
      </c>
      <c r="D405" s="365">
        <f t="shared" si="26"/>
        <v>0.42301184433173322</v>
      </c>
      <c r="E405" s="362">
        <f t="shared" si="27"/>
        <v>0.18581418581418485</v>
      </c>
      <c r="F405" s="364">
        <v>25.312852833840772</v>
      </c>
      <c r="G405" s="365">
        <f t="shared" si="23"/>
        <v>0.42857142857142261</v>
      </c>
      <c r="H405" s="380">
        <f t="shared" si="28"/>
        <v>0.18596804604544981</v>
      </c>
    </row>
    <row r="406" spans="2:8">
      <c r="B406" s="363">
        <v>34151</v>
      </c>
      <c r="C406" s="364">
        <v>22.6142256108648</v>
      </c>
      <c r="D406" s="365">
        <f t="shared" si="26"/>
        <v>0.84245998315055637</v>
      </c>
      <c r="E406" s="362">
        <f t="shared" si="27"/>
        <v>0.16326530612244983</v>
      </c>
      <c r="F406" s="364">
        <v>25.52254009269361</v>
      </c>
      <c r="G406" s="365">
        <f t="shared" si="23"/>
        <v>0.82838256212869332</v>
      </c>
      <c r="H406" s="380">
        <f t="shared" si="28"/>
        <v>0.16323969495125001</v>
      </c>
    </row>
    <row r="407" spans="2:8">
      <c r="B407" s="363">
        <v>34182</v>
      </c>
      <c r="C407" s="364">
        <v>22.897611896715301</v>
      </c>
      <c r="D407" s="365">
        <f t="shared" si="26"/>
        <v>1.2531328320804835</v>
      </c>
      <c r="E407" s="362">
        <f t="shared" si="27"/>
        <v>0.16426512968299822</v>
      </c>
      <c r="F407" s="364">
        <v>25.842366113772176</v>
      </c>
      <c r="G407" s="365">
        <f t="shared" si="23"/>
        <v>1.253112033195003</v>
      </c>
      <c r="H407" s="380">
        <f t="shared" si="28"/>
        <v>0.16410647838946679</v>
      </c>
    </row>
    <row r="408" spans="2:8">
      <c r="B408" s="363">
        <v>34213</v>
      </c>
      <c r="C408" s="364">
        <v>23.180998182565698</v>
      </c>
      <c r="D408" s="365">
        <f t="shared" si="26"/>
        <v>1.2376237623760611</v>
      </c>
      <c r="E408" s="362">
        <f t="shared" si="27"/>
        <v>0.16524216524216717</v>
      </c>
      <c r="F408" s="364">
        <v>26.168546294209925</v>
      </c>
      <c r="G408" s="365">
        <f t="shared" si="23"/>
        <v>1.262191623637432</v>
      </c>
      <c r="H408" s="380">
        <f t="shared" si="28"/>
        <v>0.16567600717048792</v>
      </c>
    </row>
    <row r="409" spans="2:8">
      <c r="B409" s="363">
        <v>34243</v>
      </c>
      <c r="C409" s="364">
        <v>23.766663173323298</v>
      </c>
      <c r="D409" s="365">
        <f t="shared" si="26"/>
        <v>2.5264873675632904</v>
      </c>
      <c r="E409" s="362">
        <f t="shared" si="27"/>
        <v>0.18791312559018158</v>
      </c>
      <c r="F409" s="364">
        <v>26.833614973803769</v>
      </c>
      <c r="G409" s="365">
        <f t="shared" si="23"/>
        <v>2.5414811817078276</v>
      </c>
      <c r="H409" s="380">
        <f t="shared" si="28"/>
        <v>0.18779298706169167</v>
      </c>
    </row>
    <row r="410" spans="2:8">
      <c r="B410" s="363">
        <v>34274</v>
      </c>
      <c r="C410" s="364">
        <v>24.257866068797401</v>
      </c>
      <c r="D410" s="365">
        <f t="shared" si="26"/>
        <v>2.066772655008009</v>
      </c>
      <c r="E410" s="362">
        <f t="shared" si="27"/>
        <v>0.19441860465116756</v>
      </c>
      <c r="F410" s="364">
        <v>27.392780997411325</v>
      </c>
      <c r="G410" s="365">
        <f t="shared" si="23"/>
        <v>2.083826663509325</v>
      </c>
      <c r="H410" s="380">
        <f t="shared" si="28"/>
        <v>0.19462405320524656</v>
      </c>
    </row>
    <row r="411" spans="2:8">
      <c r="B411" s="363">
        <v>34304</v>
      </c>
      <c r="C411" s="364">
        <v>24.560144773704501</v>
      </c>
      <c r="D411" s="365">
        <f t="shared" si="26"/>
        <v>1.2461059190029822</v>
      </c>
      <c r="E411" s="362">
        <f t="shared" si="27"/>
        <v>0.2037037037037055</v>
      </c>
      <c r="F411" s="364">
        <v>27.73166949656742</v>
      </c>
      <c r="G411" s="365">
        <f t="shared" si="23"/>
        <v>1.2371452872496524</v>
      </c>
      <c r="H411" s="380">
        <f t="shared" si="28"/>
        <v>0.20406474158543286</v>
      </c>
    </row>
    <row r="412" spans="2:8">
      <c r="B412" s="363">
        <v>34335</v>
      </c>
      <c r="C412" s="364">
        <v>25.3158415359723</v>
      </c>
      <c r="D412" s="365">
        <f t="shared" si="26"/>
        <v>3.076923076922955</v>
      </c>
      <c r="E412" s="362">
        <f t="shared" si="27"/>
        <v>0.20503597122301986</v>
      </c>
      <c r="F412" s="364">
        <v>28.57889074445767</v>
      </c>
      <c r="G412" s="365">
        <f t="shared" si="23"/>
        <v>3.0550675933705307</v>
      </c>
      <c r="H412" s="380">
        <f t="shared" si="28"/>
        <v>0.20537788100768273</v>
      </c>
    </row>
    <row r="413" spans="2:8">
      <c r="B413" s="363">
        <v>34366</v>
      </c>
      <c r="C413" s="364">
        <v>26.052645879183501</v>
      </c>
      <c r="D413" s="365">
        <f t="shared" si="26"/>
        <v>2.9104477611942903</v>
      </c>
      <c r="E413" s="362">
        <f t="shared" si="27"/>
        <v>0.21071115013169517</v>
      </c>
      <c r="F413" s="364">
        <v>29.409167567390107</v>
      </c>
      <c r="G413" s="365">
        <f t="shared" si="23"/>
        <v>2.9052101089453775</v>
      </c>
      <c r="H413" s="380">
        <f t="shared" si="28"/>
        <v>0.21086596319874418</v>
      </c>
    </row>
    <row r="414" spans="2:8">
      <c r="B414" s="363">
        <v>34394</v>
      </c>
      <c r="C414" s="364">
        <v>26.543848774657601</v>
      </c>
      <c r="D414" s="365">
        <f t="shared" si="26"/>
        <v>1.8854242204496385</v>
      </c>
      <c r="E414" s="362">
        <f t="shared" si="27"/>
        <v>0.22386759581881965</v>
      </c>
      <c r="F414" s="364">
        <v>29.953507219159587</v>
      </c>
      <c r="G414" s="365">
        <f t="shared" si="23"/>
        <v>1.8509182571119887</v>
      </c>
      <c r="H414" s="380">
        <f t="shared" si="28"/>
        <v>0.223673963831444</v>
      </c>
    </row>
    <row r="415" spans="2:8">
      <c r="B415" s="363">
        <v>34425</v>
      </c>
      <c r="C415" s="364">
        <v>26.8461274795647</v>
      </c>
      <c r="D415" s="365">
        <f t="shared" si="26"/>
        <v>1.1387900355870562</v>
      </c>
      <c r="E415" s="362">
        <f t="shared" si="27"/>
        <v>0.21869639794167961</v>
      </c>
      <c r="F415" s="364">
        <v>30.296631824555142</v>
      </c>
      <c r="G415" s="365">
        <f t="shared" si="23"/>
        <v>1.1455239711497978</v>
      </c>
      <c r="H415" s="380">
        <f t="shared" si="28"/>
        <v>0.21871006219647282</v>
      </c>
    </row>
    <row r="416" spans="2:8">
      <c r="B416" s="363">
        <v>34455</v>
      </c>
      <c r="C416" s="364">
        <v>26.959481993904902</v>
      </c>
      <c r="D416" s="365">
        <f t="shared" si="26"/>
        <v>0.42223786066160063</v>
      </c>
      <c r="E416" s="362">
        <f t="shared" si="27"/>
        <v>0.20727580372250598</v>
      </c>
      <c r="F416" s="364">
        <v>30.440659436696478</v>
      </c>
      <c r="G416" s="365">
        <f t="shared" si="23"/>
        <v>0.47539149888140564</v>
      </c>
      <c r="H416" s="380">
        <f t="shared" si="28"/>
        <v>0.20773109243697485</v>
      </c>
    </row>
    <row r="417" spans="2:8">
      <c r="B417" s="363">
        <v>34486</v>
      </c>
      <c r="C417" s="364">
        <v>27.1106213463584</v>
      </c>
      <c r="D417" s="365">
        <f t="shared" si="26"/>
        <v>0.56061667834592654</v>
      </c>
      <c r="E417" s="362">
        <f t="shared" si="27"/>
        <v>0.20893007582139611</v>
      </c>
      <c r="F417" s="364">
        <v>30.593159261316728</v>
      </c>
      <c r="G417" s="365">
        <f t="shared" si="23"/>
        <v>0.50097411633733824</v>
      </c>
      <c r="H417" s="380">
        <f t="shared" si="28"/>
        <v>0.20860179064513473</v>
      </c>
    </row>
    <row r="418" spans="2:8">
      <c r="B418" s="363">
        <v>34516</v>
      </c>
      <c r="C418" s="364">
        <v>27.488469727492301</v>
      </c>
      <c r="D418" s="365">
        <f t="shared" si="26"/>
        <v>1.3937282229964598</v>
      </c>
      <c r="E418" s="362">
        <f t="shared" si="27"/>
        <v>0.21553884711779459</v>
      </c>
      <c r="F418" s="364">
        <v>31.027360150860474</v>
      </c>
      <c r="G418" s="365">
        <f t="shared" si="23"/>
        <v>1.4192744392135026</v>
      </c>
      <c r="H418" s="380">
        <f t="shared" si="28"/>
        <v>0.2156846473029046</v>
      </c>
    </row>
    <row r="419" spans="2:8">
      <c r="B419" s="363">
        <v>34547</v>
      </c>
      <c r="C419" s="364">
        <v>27.9229953657963</v>
      </c>
      <c r="D419" s="365">
        <f t="shared" si="26"/>
        <v>1.5807560137456989</v>
      </c>
      <c r="E419" s="362">
        <f t="shared" si="27"/>
        <v>0.21947194719471597</v>
      </c>
      <c r="F419" s="364">
        <v>31.522984580876262</v>
      </c>
      <c r="G419" s="365">
        <f t="shared" si="23"/>
        <v>1.5973786606594098</v>
      </c>
      <c r="H419" s="380">
        <f t="shared" si="28"/>
        <v>0.2198180477010081</v>
      </c>
    </row>
    <row r="420" spans="2:8">
      <c r="B420" s="363">
        <v>34578</v>
      </c>
      <c r="C420" s="364">
        <v>28.0174574610798</v>
      </c>
      <c r="D420" s="365">
        <f t="shared" si="26"/>
        <v>0.33829499323416723</v>
      </c>
      <c r="E420" s="362">
        <f t="shared" si="27"/>
        <v>0.20863895680521538</v>
      </c>
      <c r="F420" s="364">
        <v>31.628887236862546</v>
      </c>
      <c r="G420" s="365">
        <f t="shared" si="23"/>
        <v>0.33595377276087746</v>
      </c>
      <c r="H420" s="380">
        <f t="shared" si="28"/>
        <v>0.20866046135167937</v>
      </c>
    </row>
    <row r="421" spans="2:8">
      <c r="B421" s="363">
        <v>34608</v>
      </c>
      <c r="C421" s="364">
        <v>28.2819513278736</v>
      </c>
      <c r="D421" s="365">
        <f t="shared" si="26"/>
        <v>0.9440323668242101</v>
      </c>
      <c r="E421" s="362">
        <f t="shared" si="27"/>
        <v>0.18998410174880798</v>
      </c>
      <c r="F421" s="364">
        <v>31.923296620504409</v>
      </c>
      <c r="G421" s="365">
        <f t="shared" si="23"/>
        <v>0.93082434875779718</v>
      </c>
      <c r="H421" s="380">
        <f t="shared" si="28"/>
        <v>0.1896755860762489</v>
      </c>
    </row>
    <row r="422" spans="2:8">
      <c r="B422" s="363">
        <v>34639</v>
      </c>
      <c r="C422" s="364">
        <v>28.792046642404401</v>
      </c>
      <c r="D422" s="365">
        <f t="shared" si="26"/>
        <v>1.803607214428915</v>
      </c>
      <c r="E422" s="362">
        <f t="shared" si="27"/>
        <v>0.18691588785046753</v>
      </c>
      <c r="F422" s="364">
        <v>32.507879281548675</v>
      </c>
      <c r="G422" s="365">
        <f t="shared" si="23"/>
        <v>1.8312101910827883</v>
      </c>
      <c r="H422" s="380">
        <f t="shared" si="28"/>
        <v>0.18673161679424721</v>
      </c>
    </row>
    <row r="423" spans="2:8">
      <c r="B423" s="363">
        <v>34669</v>
      </c>
      <c r="C423" s="364">
        <v>29.056540509198101</v>
      </c>
      <c r="D423" s="365">
        <f t="shared" si="26"/>
        <v>0.91863517060353228</v>
      </c>
      <c r="E423" s="362">
        <f t="shared" si="27"/>
        <v>0.18307692307692336</v>
      </c>
      <c r="F423" s="364">
        <v>32.800170612070808</v>
      </c>
      <c r="G423" s="365">
        <f t="shared" si="23"/>
        <v>0.89913995308834593</v>
      </c>
      <c r="H423" s="380">
        <f t="shared" si="28"/>
        <v>0.18276941877339037</v>
      </c>
    </row>
    <row r="424" spans="2:8">
      <c r="B424" s="363">
        <v>34700</v>
      </c>
      <c r="C424" s="364">
        <v>29.5855282427856</v>
      </c>
      <c r="D424" s="365">
        <f t="shared" si="26"/>
        <v>1.8205461638492126</v>
      </c>
      <c r="E424" s="362">
        <f t="shared" si="27"/>
        <v>0.16865671641791291</v>
      </c>
      <c r="F424" s="364">
        <v>33.397312859884835</v>
      </c>
      <c r="G424" s="365">
        <f t="shared" si="23"/>
        <v>1.820546163849146</v>
      </c>
      <c r="H424" s="380">
        <f t="shared" si="28"/>
        <v>0.16860073956374966</v>
      </c>
    </row>
    <row r="425" spans="2:8">
      <c r="B425" s="363">
        <v>34731</v>
      </c>
      <c r="C425" s="364">
        <v>29.850022109579299</v>
      </c>
      <c r="D425" s="365">
        <f t="shared" si="26"/>
        <v>0.89399744572145057</v>
      </c>
      <c r="E425" s="362">
        <f t="shared" si="27"/>
        <v>0.14575779550398615</v>
      </c>
      <c r="F425" s="364">
        <v>33.695883983791859</v>
      </c>
      <c r="G425" s="365">
        <f t="shared" si="23"/>
        <v>0.893997445721606</v>
      </c>
      <c r="H425" s="380">
        <f t="shared" si="28"/>
        <v>0.14576122926903268</v>
      </c>
    </row>
    <row r="426" spans="2:8">
      <c r="B426" s="363">
        <v>34759</v>
      </c>
      <c r="C426" s="364">
        <v>30.341225005053399</v>
      </c>
      <c r="D426" s="365">
        <f t="shared" si="26"/>
        <v>1.6455696202531955</v>
      </c>
      <c r="E426" s="362">
        <f t="shared" si="27"/>
        <v>0.14306049822063849</v>
      </c>
      <c r="F426" s="364">
        <v>34.250373213904886</v>
      </c>
      <c r="G426" s="365">
        <f t="shared" si="23"/>
        <v>1.6455696202531511</v>
      </c>
      <c r="H426" s="380">
        <f t="shared" si="28"/>
        <v>0.14345118130263002</v>
      </c>
    </row>
    <row r="427" spans="2:8">
      <c r="B427" s="363">
        <v>34790</v>
      </c>
      <c r="C427" s="364">
        <v>30.5868264527905</v>
      </c>
      <c r="D427" s="365">
        <f t="shared" si="26"/>
        <v>0.80946450809482595</v>
      </c>
      <c r="E427" s="362">
        <f t="shared" si="27"/>
        <v>0.13933849401829823</v>
      </c>
      <c r="F427" s="364">
        <v>34.527617828961404</v>
      </c>
      <c r="G427" s="365">
        <f t="shared" si="23"/>
        <v>0.80946450809464832</v>
      </c>
      <c r="H427" s="380">
        <f t="shared" si="28"/>
        <v>0.13965202564124923</v>
      </c>
    </row>
    <row r="428" spans="2:8">
      <c r="B428" s="363">
        <v>34820</v>
      </c>
      <c r="C428" s="364">
        <v>30.813535481470801</v>
      </c>
      <c r="D428" s="365">
        <f t="shared" si="26"/>
        <v>0.74119827053720222</v>
      </c>
      <c r="E428" s="362">
        <f t="shared" si="27"/>
        <v>0.14295725297827455</v>
      </c>
      <c r="F428" s="364">
        <v>34.783535935167414</v>
      </c>
      <c r="G428" s="365">
        <f t="shared" si="23"/>
        <v>0.74119827053735765</v>
      </c>
      <c r="H428" s="380">
        <f t="shared" si="28"/>
        <v>0.14266696513267907</v>
      </c>
    </row>
    <row r="429" spans="2:8">
      <c r="B429" s="363">
        <v>34851</v>
      </c>
      <c r="C429" s="364">
        <v>31.153599024491299</v>
      </c>
      <c r="D429" s="365">
        <f t="shared" si="26"/>
        <v>1.103617412630209</v>
      </c>
      <c r="E429" s="362">
        <f t="shared" si="27"/>
        <v>0.1491289198606276</v>
      </c>
      <c r="F429" s="364">
        <v>35.167413094476437</v>
      </c>
      <c r="G429" s="365">
        <f t="shared" si="23"/>
        <v>1.1036174126302978</v>
      </c>
      <c r="H429" s="380">
        <f t="shared" si="28"/>
        <v>0.14951884485312328</v>
      </c>
    </row>
    <row r="430" spans="2:8">
      <c r="B430" s="363">
        <v>34881</v>
      </c>
      <c r="C430" s="364">
        <v>31.4747701484551</v>
      </c>
      <c r="D430" s="365">
        <f t="shared" si="26"/>
        <v>1.0309278350514539</v>
      </c>
      <c r="E430" s="362">
        <f t="shared" si="27"/>
        <v>0.14501718213058412</v>
      </c>
      <c r="F430" s="364">
        <v>35.529963744934953</v>
      </c>
      <c r="G430" s="365">
        <f t="shared" si="23"/>
        <v>1.0309278350515427</v>
      </c>
      <c r="H430" s="380">
        <f t="shared" si="28"/>
        <v>0.14511719889097985</v>
      </c>
    </row>
    <row r="431" spans="2:8">
      <c r="B431" s="363">
        <v>34912</v>
      </c>
      <c r="C431" s="364">
        <v>31.399200472228401</v>
      </c>
      <c r="D431" s="365">
        <f t="shared" si="26"/>
        <v>-0.24009603841510518</v>
      </c>
      <c r="E431" s="362">
        <f t="shared" si="27"/>
        <v>0.12449255751015187</v>
      </c>
      <c r="F431" s="364">
        <v>35.444657709532947</v>
      </c>
      <c r="G431" s="365">
        <f t="shared" si="23"/>
        <v>-0.24009603841537164</v>
      </c>
      <c r="H431" s="380">
        <f t="shared" si="28"/>
        <v>0.12440678383720716</v>
      </c>
    </row>
    <row r="432" spans="2:8">
      <c r="B432" s="363">
        <v>34943</v>
      </c>
      <c r="C432" s="364">
        <v>31.455877729398502</v>
      </c>
      <c r="D432" s="365">
        <f t="shared" si="26"/>
        <v>0.18050541516250185</v>
      </c>
      <c r="E432" s="362">
        <f t="shared" si="27"/>
        <v>0.12272420768712333</v>
      </c>
      <c r="F432" s="364">
        <v>35.508637236084454</v>
      </c>
      <c r="G432" s="365">
        <f t="shared" si="23"/>
        <v>0.18050541516245744</v>
      </c>
      <c r="H432" s="380">
        <f t="shared" si="28"/>
        <v>0.12266476433923268</v>
      </c>
    </row>
    <row r="433" spans="2:8">
      <c r="B433" s="363">
        <v>34973</v>
      </c>
      <c r="C433" s="364">
        <v>31.720371596192201</v>
      </c>
      <c r="D433" s="365">
        <f t="shared" si="26"/>
        <v>0.84084084084070643</v>
      </c>
      <c r="E433" s="362">
        <f t="shared" si="27"/>
        <v>0.12157648630594409</v>
      </c>
      <c r="F433" s="364">
        <v>35.807208359991471</v>
      </c>
      <c r="G433" s="365">
        <f t="shared" si="23"/>
        <v>0.84084084084083965</v>
      </c>
      <c r="H433" s="380">
        <f t="shared" si="28"/>
        <v>0.12166386779091032</v>
      </c>
    </row>
    <row r="434" spans="2:8">
      <c r="B434" s="363">
        <v>35004</v>
      </c>
      <c r="C434" s="364">
        <v>31.852618529589101</v>
      </c>
      <c r="D434" s="365">
        <f t="shared" si="26"/>
        <v>0.41691483025618759</v>
      </c>
      <c r="E434" s="362">
        <f t="shared" si="27"/>
        <v>0.10629921259842456</v>
      </c>
      <c r="F434" s="364">
        <v>35.956493921944983</v>
      </c>
      <c r="G434" s="365">
        <f t="shared" si="23"/>
        <v>0.41691483025612097</v>
      </c>
      <c r="H434" s="380">
        <f t="shared" si="28"/>
        <v>0.10608550039601394</v>
      </c>
    </row>
    <row r="435" spans="2:8">
      <c r="B435" s="363">
        <v>35034</v>
      </c>
      <c r="C435" s="364">
        <v>32.117112396382801</v>
      </c>
      <c r="D435" s="365">
        <f t="shared" si="26"/>
        <v>0.83036773428220023</v>
      </c>
      <c r="E435" s="362">
        <f t="shared" si="27"/>
        <v>0.10533159947984339</v>
      </c>
      <c r="F435" s="364">
        <v>36.255065045852</v>
      </c>
      <c r="G435" s="365">
        <f t="shared" si="23"/>
        <v>0.83036773428233346</v>
      </c>
      <c r="H435" s="380">
        <f t="shared" si="28"/>
        <v>0.10533159947984405</v>
      </c>
    </row>
    <row r="436" spans="2:8">
      <c r="B436" s="363">
        <v>35065</v>
      </c>
      <c r="C436" s="364">
        <v>32.627207710913602</v>
      </c>
      <c r="D436" s="365">
        <f t="shared" si="26"/>
        <v>1.5882352941176903</v>
      </c>
      <c r="E436" s="362">
        <f t="shared" si="27"/>
        <v>0.10280970625798158</v>
      </c>
      <c r="F436" s="364">
        <v>36.830880784815527</v>
      </c>
      <c r="G436" s="365">
        <f t="shared" si="23"/>
        <v>1.5882352941176237</v>
      </c>
      <c r="H436" s="380">
        <f t="shared" si="28"/>
        <v>0.10280970625798225</v>
      </c>
    </row>
    <row r="437" spans="2:8">
      <c r="B437" s="363">
        <v>35096</v>
      </c>
      <c r="C437" s="364">
        <v>33.193980282614497</v>
      </c>
      <c r="D437" s="365">
        <f t="shared" si="26"/>
        <v>1.7371163867979877</v>
      </c>
      <c r="E437" s="362">
        <f t="shared" si="27"/>
        <v>0.11202531645569791</v>
      </c>
      <c r="F437" s="364">
        <v>37.47067605033056</v>
      </c>
      <c r="G437" s="365">
        <f t="shared" ref="G437:G500" si="29">+((F437/F436)-1)*100</f>
        <v>1.7371163867979211</v>
      </c>
      <c r="H437" s="380">
        <f t="shared" si="28"/>
        <v>0.11202531645569591</v>
      </c>
    </row>
    <row r="438" spans="2:8">
      <c r="B438" s="363">
        <v>35125</v>
      </c>
      <c r="C438" s="364">
        <v>33.704075597145199</v>
      </c>
      <c r="D438" s="365">
        <f t="shared" si="26"/>
        <v>1.5367103016502792</v>
      </c>
      <c r="E438" s="362">
        <f t="shared" si="27"/>
        <v>0.11083437110834216</v>
      </c>
      <c r="F438" s="364">
        <v>38.046491789294095</v>
      </c>
      <c r="G438" s="365">
        <f t="shared" si="29"/>
        <v>1.5367103016505457</v>
      </c>
      <c r="H438" s="380">
        <f t="shared" si="28"/>
        <v>0.11083437110834371</v>
      </c>
    </row>
    <row r="439" spans="2:8">
      <c r="B439" s="363">
        <v>35156</v>
      </c>
      <c r="C439" s="364">
        <v>33.911892206768897</v>
      </c>
      <c r="D439" s="365">
        <f t="shared" si="26"/>
        <v>0.61659192825125331</v>
      </c>
      <c r="E439" s="362">
        <f t="shared" si="27"/>
        <v>0.10870907967881194</v>
      </c>
      <c r="F439" s="364">
        <v>38.281083386649605</v>
      </c>
      <c r="G439" s="365">
        <f t="shared" si="29"/>
        <v>0.61659192825112008</v>
      </c>
      <c r="H439" s="380">
        <f t="shared" si="28"/>
        <v>0.10870907967881394</v>
      </c>
    </row>
    <row r="440" spans="2:8">
      <c r="B440" s="363">
        <v>35186</v>
      </c>
      <c r="C440" s="364">
        <v>34.044139140165797</v>
      </c>
      <c r="D440" s="365">
        <f t="shared" si="26"/>
        <v>0.38997214484688403</v>
      </c>
      <c r="E440" s="362">
        <f t="shared" si="27"/>
        <v>0.10484365419987807</v>
      </c>
      <c r="F440" s="364">
        <v>38.430368948603117</v>
      </c>
      <c r="G440" s="365">
        <f t="shared" si="29"/>
        <v>0.38997214484681741</v>
      </c>
      <c r="H440" s="380">
        <f t="shared" si="28"/>
        <v>0.1048436541998774</v>
      </c>
    </row>
    <row r="441" spans="2:8">
      <c r="B441" s="363">
        <v>35217</v>
      </c>
      <c r="C441" s="364">
        <v>34.157493654505899</v>
      </c>
      <c r="D441" s="365">
        <f t="shared" si="26"/>
        <v>0.33296337402863863</v>
      </c>
      <c r="E441" s="362">
        <f t="shared" si="27"/>
        <v>9.6422073984232082E-2</v>
      </c>
      <c r="F441" s="364">
        <v>38.558328001706123</v>
      </c>
      <c r="G441" s="365">
        <f t="shared" si="29"/>
        <v>0.33296337402886067</v>
      </c>
      <c r="H441" s="380">
        <f t="shared" si="28"/>
        <v>9.6422073984232748E-2</v>
      </c>
    </row>
    <row r="442" spans="2:8">
      <c r="B442" s="363">
        <v>35247</v>
      </c>
      <c r="C442" s="364">
        <v>34.289740587902799</v>
      </c>
      <c r="D442" s="365">
        <f t="shared" si="26"/>
        <v>0.38716814159300839</v>
      </c>
      <c r="E442" s="362">
        <f t="shared" si="27"/>
        <v>8.9435774309724936E-2</v>
      </c>
      <c r="F442" s="364">
        <v>38.707613563659635</v>
      </c>
      <c r="G442" s="365">
        <f t="shared" si="29"/>
        <v>0.38716814159291957</v>
      </c>
      <c r="H442" s="380">
        <f t="shared" si="28"/>
        <v>8.9435774309724048E-2</v>
      </c>
    </row>
    <row r="443" spans="2:8">
      <c r="B443" s="363">
        <v>35278</v>
      </c>
      <c r="C443" s="364">
        <v>34.440879940356403</v>
      </c>
      <c r="D443" s="365">
        <f t="shared" si="26"/>
        <v>0.44077134986237887</v>
      </c>
      <c r="E443" s="362">
        <f t="shared" si="27"/>
        <v>9.6871239470516901E-2</v>
      </c>
      <c r="F443" s="364">
        <v>38.878225634463647</v>
      </c>
      <c r="G443" s="365">
        <f t="shared" si="29"/>
        <v>0.44077134986226785</v>
      </c>
      <c r="H443" s="380">
        <f t="shared" si="28"/>
        <v>9.6871239470517789E-2</v>
      </c>
    </row>
    <row r="444" spans="2:8">
      <c r="B444" s="363">
        <v>35309</v>
      </c>
      <c r="C444" s="364">
        <v>34.5353420356399</v>
      </c>
      <c r="D444" s="365">
        <f t="shared" si="26"/>
        <v>0.27427317608343937</v>
      </c>
      <c r="E444" s="362">
        <f t="shared" si="27"/>
        <v>9.7897897897897268E-2</v>
      </c>
      <c r="F444" s="364">
        <v>38.984858178716152</v>
      </c>
      <c r="G444" s="365">
        <f t="shared" si="29"/>
        <v>0.27427317608337276</v>
      </c>
      <c r="H444" s="380">
        <f t="shared" si="28"/>
        <v>9.7897897897898156E-2</v>
      </c>
    </row>
    <row r="445" spans="2:8">
      <c r="B445" s="363">
        <v>35339</v>
      </c>
      <c r="C445" s="364">
        <v>34.5353420356399</v>
      </c>
      <c r="D445" s="365">
        <f t="shared" si="26"/>
        <v>0</v>
      </c>
      <c r="E445" s="362">
        <f t="shared" si="27"/>
        <v>8.8743299583086133E-2</v>
      </c>
      <c r="F445" s="364">
        <v>38.984858178716152</v>
      </c>
      <c r="G445" s="365">
        <f t="shared" si="29"/>
        <v>0</v>
      </c>
      <c r="H445" s="380">
        <f t="shared" si="28"/>
        <v>8.8743299583085467E-2</v>
      </c>
    </row>
    <row r="446" spans="2:8">
      <c r="B446" s="363">
        <v>35370</v>
      </c>
      <c r="C446" s="364">
        <v>34.648696549980002</v>
      </c>
      <c r="D446" s="365">
        <f t="shared" si="26"/>
        <v>0.32822757111576895</v>
      </c>
      <c r="E446" s="362">
        <f t="shared" si="27"/>
        <v>8.7781731909843508E-2</v>
      </c>
      <c r="F446" s="364">
        <v>39.112817231819157</v>
      </c>
      <c r="G446" s="365">
        <f t="shared" si="29"/>
        <v>0.32822757111596879</v>
      </c>
      <c r="H446" s="380">
        <f t="shared" si="28"/>
        <v>8.7781731909845728E-2</v>
      </c>
    </row>
    <row r="447" spans="2:8">
      <c r="B447" s="363">
        <v>35400</v>
      </c>
      <c r="C447" s="364">
        <v>34.743158645263499</v>
      </c>
      <c r="D447" s="365">
        <f t="shared" si="26"/>
        <v>0.27262813522359597</v>
      </c>
      <c r="E447" s="362">
        <f t="shared" si="27"/>
        <v>8.1764705882352517E-2</v>
      </c>
      <c r="F447" s="364">
        <v>39.219449776071663</v>
      </c>
      <c r="G447" s="365">
        <f t="shared" si="29"/>
        <v>0.27262813522355156</v>
      </c>
      <c r="H447" s="380">
        <f t="shared" si="28"/>
        <v>8.1764705882352962E-2</v>
      </c>
    </row>
    <row r="448" spans="2:8">
      <c r="B448" s="363">
        <v>35431</v>
      </c>
      <c r="C448" s="364">
        <v>35.045437350170701</v>
      </c>
      <c r="D448" s="365">
        <f t="shared" si="26"/>
        <v>0.87003806416550145</v>
      </c>
      <c r="E448" s="362">
        <f t="shared" si="27"/>
        <v>7.4116965836712234E-2</v>
      </c>
      <c r="F448" s="364">
        <v>39.560673917679679</v>
      </c>
      <c r="G448" s="365">
        <f t="shared" si="29"/>
        <v>0.87003806416530161</v>
      </c>
      <c r="H448" s="380">
        <f t="shared" si="28"/>
        <v>7.4116965836711124E-2</v>
      </c>
    </row>
    <row r="449" spans="2:8">
      <c r="B449" s="363">
        <v>35462</v>
      </c>
      <c r="C449" s="364">
        <v>35.706672017155</v>
      </c>
      <c r="D449" s="365">
        <f t="shared" si="26"/>
        <v>1.8867924528300328</v>
      </c>
      <c r="E449" s="362">
        <f t="shared" si="27"/>
        <v>7.5697211155377309E-2</v>
      </c>
      <c r="F449" s="364">
        <v>40.307101727447218</v>
      </c>
      <c r="G449" s="365">
        <f t="shared" si="29"/>
        <v>1.8867924528301883</v>
      </c>
      <c r="H449" s="380">
        <f t="shared" si="28"/>
        <v>7.5697211155378641E-2</v>
      </c>
    </row>
    <row r="450" spans="2:8">
      <c r="B450" s="363">
        <v>35490</v>
      </c>
      <c r="C450" s="364">
        <v>36.594615712819703</v>
      </c>
      <c r="D450" s="365">
        <f t="shared" si="26"/>
        <v>2.4867724867724927</v>
      </c>
      <c r="E450" s="362">
        <f t="shared" si="27"/>
        <v>8.5762331838566741E-2</v>
      </c>
      <c r="F450" s="364">
        <v>41.309447643420775</v>
      </c>
      <c r="G450" s="365">
        <f t="shared" si="29"/>
        <v>2.4867724867724927</v>
      </c>
      <c r="H450" s="380">
        <f t="shared" si="28"/>
        <v>8.5762331838564965E-2</v>
      </c>
    </row>
    <row r="451" spans="2:8">
      <c r="B451" s="363">
        <v>35521</v>
      </c>
      <c r="C451" s="364">
        <v>36.670185389046502</v>
      </c>
      <c r="D451" s="365">
        <f t="shared" si="26"/>
        <v>0.20650490449152237</v>
      </c>
      <c r="E451" s="362">
        <f t="shared" si="27"/>
        <v>8.1337047353761127E-2</v>
      </c>
      <c r="F451" s="364">
        <v>41.394753678822781</v>
      </c>
      <c r="G451" s="365">
        <f t="shared" si="29"/>
        <v>0.20650490449147796</v>
      </c>
      <c r="H451" s="380">
        <f t="shared" si="28"/>
        <v>8.1337047353760461E-2</v>
      </c>
    </row>
    <row r="452" spans="2:8">
      <c r="B452" s="363">
        <v>35551</v>
      </c>
      <c r="C452" s="364">
        <v>36.5568308747063</v>
      </c>
      <c r="D452" s="365">
        <f t="shared" si="26"/>
        <v>-0.30911901081923654</v>
      </c>
      <c r="E452" s="362">
        <f t="shared" si="27"/>
        <v>7.3806881243062117E-2</v>
      </c>
      <c r="F452" s="364">
        <v>41.266794625719776</v>
      </c>
      <c r="G452" s="365">
        <f t="shared" si="29"/>
        <v>-0.30911901081915882</v>
      </c>
      <c r="H452" s="380">
        <f t="shared" si="28"/>
        <v>7.3806881243063227E-2</v>
      </c>
    </row>
    <row r="453" spans="2:8">
      <c r="B453" s="363">
        <v>35582</v>
      </c>
      <c r="C453" s="364">
        <v>36.840217160556698</v>
      </c>
      <c r="D453" s="365">
        <f t="shared" ref="D453:D516" si="30">+((C453/C452)-1)*100</f>
        <v>0.77519379844950276</v>
      </c>
      <c r="E453" s="362">
        <f t="shared" si="27"/>
        <v>7.8539823008849652E-2</v>
      </c>
      <c r="F453" s="364">
        <v>41.586692258477292</v>
      </c>
      <c r="G453" s="365">
        <f t="shared" si="29"/>
        <v>0.77519379844961378</v>
      </c>
      <c r="H453" s="380">
        <f t="shared" si="28"/>
        <v>7.8539823008849652E-2</v>
      </c>
    </row>
    <row r="454" spans="2:8">
      <c r="B454" s="363">
        <v>35612</v>
      </c>
      <c r="C454" s="364">
        <v>36.670185389046502</v>
      </c>
      <c r="D454" s="365">
        <f t="shared" si="30"/>
        <v>-0.46153846153828004</v>
      </c>
      <c r="E454" s="362">
        <f t="shared" si="27"/>
        <v>6.9421487603306797E-2</v>
      </c>
      <c r="F454" s="364">
        <v>41.394753678822781</v>
      </c>
      <c r="G454" s="365">
        <f t="shared" si="29"/>
        <v>-0.46153846153846878</v>
      </c>
      <c r="H454" s="380">
        <f t="shared" si="28"/>
        <v>6.9421487603305687E-2</v>
      </c>
    </row>
    <row r="455" spans="2:8">
      <c r="B455" s="363">
        <v>35643</v>
      </c>
      <c r="C455" s="364">
        <v>36.594615712819703</v>
      </c>
      <c r="D455" s="365">
        <f t="shared" si="30"/>
        <v>-0.20607934054615029</v>
      </c>
      <c r="E455" s="362">
        <f t="shared" si="27"/>
        <v>6.2534284147009789E-2</v>
      </c>
      <c r="F455" s="364">
        <v>41.309447643420775</v>
      </c>
      <c r="G455" s="365">
        <f t="shared" si="29"/>
        <v>-0.20607934054611698</v>
      </c>
      <c r="H455" s="380">
        <f t="shared" si="28"/>
        <v>6.2534284147010233E-2</v>
      </c>
    </row>
    <row r="456" spans="2:8">
      <c r="B456" s="363">
        <v>35674</v>
      </c>
      <c r="C456" s="364">
        <v>36.5568308747063</v>
      </c>
      <c r="D456" s="365">
        <f t="shared" si="30"/>
        <v>-0.10325245224577229</v>
      </c>
      <c r="E456" s="362">
        <f t="shared" si="27"/>
        <v>5.8533916849013989E-2</v>
      </c>
      <c r="F456" s="364">
        <v>41.266794625719776</v>
      </c>
      <c r="G456" s="365">
        <f t="shared" si="29"/>
        <v>-0.10325245224573898</v>
      </c>
      <c r="H456" s="380">
        <f t="shared" si="28"/>
        <v>5.8533916849015322E-2</v>
      </c>
    </row>
    <row r="457" spans="2:8">
      <c r="B457" s="363">
        <v>35704</v>
      </c>
      <c r="C457" s="364">
        <v>36.537938455649602</v>
      </c>
      <c r="D457" s="365">
        <f t="shared" si="30"/>
        <v>-5.1679586563313507E-2</v>
      </c>
      <c r="E457" s="362">
        <f t="shared" si="27"/>
        <v>5.7986870897153819E-2</v>
      </c>
      <c r="F457" s="364">
        <v>41.245468116869276</v>
      </c>
      <c r="G457" s="365">
        <f t="shared" si="29"/>
        <v>-5.1679586563302404E-2</v>
      </c>
      <c r="H457" s="380">
        <f t="shared" si="28"/>
        <v>5.7986870897155374E-2</v>
      </c>
    </row>
    <row r="458" spans="2:8">
      <c r="B458" s="363">
        <v>35735</v>
      </c>
      <c r="C458" s="364">
        <v>36.575723293762998</v>
      </c>
      <c r="D458" s="365">
        <f t="shared" si="30"/>
        <v>0.10341261633921572</v>
      </c>
      <c r="E458" s="362">
        <f t="shared" si="27"/>
        <v>5.5616139585606073E-2</v>
      </c>
      <c r="F458" s="364">
        <v>41.288121134570275</v>
      </c>
      <c r="G458" s="365">
        <f t="shared" si="29"/>
        <v>0.10341261633919352</v>
      </c>
      <c r="H458" s="380">
        <f t="shared" si="28"/>
        <v>5.5616139585605184E-2</v>
      </c>
    </row>
    <row r="459" spans="2:8">
      <c r="B459" s="363">
        <v>35765</v>
      </c>
      <c r="C459" s="364">
        <v>36.896894417726799</v>
      </c>
      <c r="D459" s="365">
        <f t="shared" si="30"/>
        <v>0.87809917355363698</v>
      </c>
      <c r="E459" s="362">
        <f t="shared" si="27"/>
        <v>6.1990212071777684E-2</v>
      </c>
      <c r="F459" s="364">
        <v>41.650671785028798</v>
      </c>
      <c r="G459" s="365">
        <f t="shared" si="29"/>
        <v>0.8780991735537258</v>
      </c>
      <c r="H459" s="380">
        <f t="shared" si="28"/>
        <v>6.1990212071778128E-2</v>
      </c>
    </row>
    <row r="460" spans="2:8">
      <c r="B460" s="363">
        <v>35796</v>
      </c>
      <c r="C460" s="364">
        <v>37.425882151314298</v>
      </c>
      <c r="D460" s="365">
        <f t="shared" si="30"/>
        <v>1.4336917562724594</v>
      </c>
      <c r="E460" s="362">
        <f t="shared" si="27"/>
        <v>6.7924528301884779E-2</v>
      </c>
      <c r="F460" s="364">
        <v>42.247814032842825</v>
      </c>
      <c r="G460" s="365">
        <f t="shared" si="29"/>
        <v>1.4336917562723928</v>
      </c>
      <c r="H460" s="380">
        <f t="shared" si="28"/>
        <v>6.7924528301886777E-2</v>
      </c>
    </row>
    <row r="461" spans="2:8">
      <c r="B461" s="363">
        <v>35827</v>
      </c>
      <c r="C461" s="364">
        <v>38.200471332638799</v>
      </c>
      <c r="D461" s="365">
        <f t="shared" si="30"/>
        <v>2.0696617869762068</v>
      </c>
      <c r="E461" s="362">
        <f t="shared" si="27"/>
        <v>6.9841269841268705E-2</v>
      </c>
      <c r="F461" s="364">
        <v>43.12220089571337</v>
      </c>
      <c r="G461" s="365">
        <f t="shared" si="29"/>
        <v>2.0696617869762735</v>
      </c>
      <c r="H461" s="380">
        <f t="shared" si="28"/>
        <v>6.9841269841269815E-2</v>
      </c>
    </row>
    <row r="462" spans="2:8">
      <c r="B462" s="363">
        <v>35855</v>
      </c>
      <c r="C462" s="364">
        <v>39.012845352076802</v>
      </c>
      <c r="D462" s="365">
        <f t="shared" si="30"/>
        <v>2.1266073194858848</v>
      </c>
      <c r="E462" s="362">
        <f t="shared" si="27"/>
        <v>6.6081569437275167E-2</v>
      </c>
      <c r="F462" s="364">
        <v>44.039240776284927</v>
      </c>
      <c r="G462" s="365">
        <f t="shared" si="29"/>
        <v>2.1266073194856849</v>
      </c>
      <c r="H462" s="380">
        <f t="shared" si="28"/>
        <v>6.6081569437274279E-2</v>
      </c>
    </row>
    <row r="463" spans="2:8">
      <c r="B463" s="363">
        <v>35886</v>
      </c>
      <c r="C463" s="364">
        <v>39.768542114344598</v>
      </c>
      <c r="D463" s="365">
        <f t="shared" si="30"/>
        <v>1.9370460048425242</v>
      </c>
      <c r="E463" s="362">
        <f t="shared" si="27"/>
        <v>8.4492529623904966E-2</v>
      </c>
      <c r="F463" s="364">
        <v>44.892301130304972</v>
      </c>
      <c r="G463" s="365">
        <f t="shared" si="29"/>
        <v>1.937046004842613</v>
      </c>
      <c r="H463" s="380">
        <f t="shared" si="28"/>
        <v>8.4492529623905188E-2</v>
      </c>
    </row>
    <row r="464" spans="2:8">
      <c r="B464" s="363">
        <v>35916</v>
      </c>
      <c r="C464" s="364">
        <v>40.826517581519603</v>
      </c>
      <c r="D464" s="365">
        <f t="shared" si="30"/>
        <v>2.6603325415678114</v>
      </c>
      <c r="E464" s="362">
        <f t="shared" si="27"/>
        <v>0.11679586563307653</v>
      </c>
      <c r="F464" s="364">
        <v>46.08658562593304</v>
      </c>
      <c r="G464" s="365">
        <f t="shared" si="29"/>
        <v>2.6603325415677004</v>
      </c>
      <c r="H464" s="380">
        <f t="shared" si="28"/>
        <v>0.11679586563307498</v>
      </c>
    </row>
    <row r="465" spans="2:8">
      <c r="B465" s="363">
        <v>35947</v>
      </c>
      <c r="C465" s="364">
        <v>40.826517581519603</v>
      </c>
      <c r="D465" s="365">
        <f t="shared" si="30"/>
        <v>0</v>
      </c>
      <c r="E465" s="362">
        <f t="shared" ref="E465:E528" si="31">+(C465/C453)-1</f>
        <v>0.10820512820513106</v>
      </c>
      <c r="F465" s="364">
        <v>46.08658562593304</v>
      </c>
      <c r="G465" s="365">
        <f t="shared" si="29"/>
        <v>0</v>
      </c>
      <c r="H465" s="380">
        <f t="shared" ref="H465:H528" si="32">+(F465/F453)-1</f>
        <v>0.10820512820512818</v>
      </c>
    </row>
    <row r="466" spans="2:8">
      <c r="B466" s="363">
        <v>35977</v>
      </c>
      <c r="C466" s="364">
        <v>40.996549353029799</v>
      </c>
      <c r="D466" s="365">
        <f t="shared" si="30"/>
        <v>0.4164738546967417</v>
      </c>
      <c r="E466" s="362">
        <f t="shared" si="31"/>
        <v>0.11798042246264706</v>
      </c>
      <c r="F466" s="364">
        <v>46.278524205587551</v>
      </c>
      <c r="G466" s="365">
        <f t="shared" si="29"/>
        <v>0.41647385469689713</v>
      </c>
      <c r="H466" s="380">
        <f t="shared" si="32"/>
        <v>0.11798042246264817</v>
      </c>
    </row>
    <row r="467" spans="2:8">
      <c r="B467" s="363">
        <v>36008</v>
      </c>
      <c r="C467" s="364">
        <v>41.563321924730701</v>
      </c>
      <c r="D467" s="365">
        <f t="shared" si="30"/>
        <v>1.3824884792627445</v>
      </c>
      <c r="E467" s="362">
        <f t="shared" si="31"/>
        <v>0.13577697470314942</v>
      </c>
      <c r="F467" s="364">
        <v>46.918319471102585</v>
      </c>
      <c r="G467" s="365">
        <f t="shared" si="29"/>
        <v>1.3824884792626779</v>
      </c>
      <c r="H467" s="380">
        <f t="shared" si="32"/>
        <v>0.1357769747031492</v>
      </c>
    </row>
    <row r="468" spans="2:8">
      <c r="B468" s="363">
        <v>36039</v>
      </c>
      <c r="C468" s="364">
        <v>42.035632401148099</v>
      </c>
      <c r="D468" s="365">
        <f t="shared" si="30"/>
        <v>1.1363636363636465</v>
      </c>
      <c r="E468" s="362">
        <f t="shared" si="31"/>
        <v>0.14987080103359252</v>
      </c>
      <c r="F468" s="364">
        <v>47.451482192365113</v>
      </c>
      <c r="G468" s="365">
        <f t="shared" si="29"/>
        <v>1.1363636363636243</v>
      </c>
      <c r="H468" s="380">
        <f t="shared" si="32"/>
        <v>0.14987080103359163</v>
      </c>
    </row>
    <row r="469" spans="2:8">
      <c r="B469" s="363">
        <v>36069</v>
      </c>
      <c r="C469" s="364">
        <v>42.394588363225303</v>
      </c>
      <c r="D469" s="365">
        <f t="shared" si="30"/>
        <v>0.85393258426962326</v>
      </c>
      <c r="E469" s="362">
        <f t="shared" si="31"/>
        <v>0.16028955532575018</v>
      </c>
      <c r="F469" s="364">
        <v>47.856685860524635</v>
      </c>
      <c r="G469" s="365">
        <f t="shared" si="29"/>
        <v>0.85393258426966767</v>
      </c>
      <c r="H469" s="380">
        <f t="shared" si="32"/>
        <v>0.16028955532574951</v>
      </c>
    </row>
    <row r="470" spans="2:8">
      <c r="B470" s="363">
        <v>36100</v>
      </c>
      <c r="C470" s="364">
        <v>42.413480782282001</v>
      </c>
      <c r="D470" s="365">
        <f t="shared" si="30"/>
        <v>4.4563279857401383E-2</v>
      </c>
      <c r="E470" s="362">
        <f t="shared" si="31"/>
        <v>0.15960743801652932</v>
      </c>
      <c r="F470" s="364">
        <v>47.878012369375135</v>
      </c>
      <c r="G470" s="365">
        <f t="shared" si="29"/>
        <v>4.4563279857401383E-2</v>
      </c>
      <c r="H470" s="380">
        <f t="shared" si="32"/>
        <v>0.15960743801652888</v>
      </c>
    </row>
    <row r="471" spans="2:8">
      <c r="B471" s="363">
        <v>36130</v>
      </c>
      <c r="C471" s="364">
        <v>42.300126267941799</v>
      </c>
      <c r="D471" s="365">
        <f t="shared" si="30"/>
        <v>-0.26726057906465428</v>
      </c>
      <c r="E471" s="362">
        <f t="shared" si="31"/>
        <v>0.14644137224782439</v>
      </c>
      <c r="F471" s="364">
        <v>47.75005331627213</v>
      </c>
      <c r="G471" s="365">
        <f t="shared" si="29"/>
        <v>-0.26726057906458767</v>
      </c>
      <c r="H471" s="380">
        <f t="shared" si="32"/>
        <v>0.14644137224782372</v>
      </c>
    </row>
    <row r="472" spans="2:8">
      <c r="B472" s="363">
        <v>36161</v>
      </c>
      <c r="C472" s="364">
        <v>42.432373201338699</v>
      </c>
      <c r="D472" s="365">
        <f t="shared" si="30"/>
        <v>0.31263957123723873</v>
      </c>
      <c r="E472" s="362">
        <f t="shared" si="31"/>
        <v>0.13377082281675978</v>
      </c>
      <c r="F472" s="364">
        <v>47.899338878225635</v>
      </c>
      <c r="G472" s="365">
        <f t="shared" si="29"/>
        <v>0.31263957123714992</v>
      </c>
      <c r="H472" s="380">
        <f t="shared" si="32"/>
        <v>0.13377082281675912</v>
      </c>
    </row>
    <row r="473" spans="2:8">
      <c r="B473" s="363">
        <v>36192</v>
      </c>
      <c r="C473" s="364">
        <v>42.583512553792303</v>
      </c>
      <c r="D473" s="365">
        <f t="shared" si="30"/>
        <v>0.3561887800535235</v>
      </c>
      <c r="E473" s="362">
        <f t="shared" si="31"/>
        <v>0.11473788328387968</v>
      </c>
      <c r="F473" s="364">
        <v>48.069950949029646</v>
      </c>
      <c r="G473" s="365">
        <f t="shared" si="29"/>
        <v>0.35618878005343468</v>
      </c>
      <c r="H473" s="380">
        <f t="shared" si="32"/>
        <v>0.11473788328387746</v>
      </c>
    </row>
    <row r="474" spans="2:8">
      <c r="B474" s="363">
        <v>36220</v>
      </c>
      <c r="C474" s="364">
        <v>42.659082230019003</v>
      </c>
      <c r="D474" s="365">
        <f t="shared" si="30"/>
        <v>0.17746228926334151</v>
      </c>
      <c r="E474" s="362">
        <f t="shared" si="31"/>
        <v>9.3462469733653908E-2</v>
      </c>
      <c r="F474" s="364">
        <v>48.155256984431652</v>
      </c>
      <c r="G474" s="365">
        <f t="shared" si="29"/>
        <v>0.17746228926354135</v>
      </c>
      <c r="H474" s="380">
        <f t="shared" si="32"/>
        <v>9.3462469733656128E-2</v>
      </c>
    </row>
    <row r="475" spans="2:8">
      <c r="B475" s="363">
        <v>36251</v>
      </c>
      <c r="C475" s="364">
        <v>42.8102215824726</v>
      </c>
      <c r="D475" s="365">
        <f t="shared" si="30"/>
        <v>0.35429583702399903</v>
      </c>
      <c r="E475" s="362">
        <f t="shared" si="31"/>
        <v>7.6484560570070803E-2</v>
      </c>
      <c r="F475" s="364">
        <v>48.325869055235664</v>
      </c>
      <c r="G475" s="365">
        <f t="shared" si="29"/>
        <v>0.35429583702391021</v>
      </c>
      <c r="H475" s="380">
        <f t="shared" si="32"/>
        <v>7.6484560570071247E-2</v>
      </c>
    </row>
    <row r="476" spans="2:8">
      <c r="B476" s="363">
        <v>36281</v>
      </c>
      <c r="C476" s="364">
        <v>42.6212973919056</v>
      </c>
      <c r="D476" s="365">
        <f t="shared" si="30"/>
        <v>-0.44130626654907967</v>
      </c>
      <c r="E476" s="362">
        <f t="shared" si="31"/>
        <v>4.3961129106892427E-2</v>
      </c>
      <c r="F476" s="364">
        <v>48.112603966730646</v>
      </c>
      <c r="G476" s="365">
        <f t="shared" si="29"/>
        <v>-0.44130626654900196</v>
      </c>
      <c r="H476" s="380">
        <f t="shared" si="32"/>
        <v>4.396112910689487E-2</v>
      </c>
    </row>
    <row r="477" spans="2:8">
      <c r="B477" s="363">
        <v>36312</v>
      </c>
      <c r="C477" s="364">
        <v>42.640189810962298</v>
      </c>
      <c r="D477" s="365">
        <f t="shared" si="30"/>
        <v>4.4326241134751143E-2</v>
      </c>
      <c r="E477" s="362">
        <f t="shared" si="31"/>
        <v>4.4423877834333547E-2</v>
      </c>
      <c r="F477" s="364">
        <v>48.133930475581145</v>
      </c>
      <c r="G477" s="365">
        <f t="shared" si="29"/>
        <v>4.4326241134751143E-2</v>
      </c>
      <c r="H477" s="380">
        <f t="shared" si="32"/>
        <v>4.4423877834335768E-2</v>
      </c>
    </row>
    <row r="478" spans="2:8">
      <c r="B478" s="363">
        <v>36342</v>
      </c>
      <c r="C478" s="364">
        <v>43.735950116250699</v>
      </c>
      <c r="D478" s="365">
        <f t="shared" si="30"/>
        <v>2.5697828976518622</v>
      </c>
      <c r="E478" s="362">
        <f t="shared" si="31"/>
        <v>6.6820276497696174E-2</v>
      </c>
      <c r="F478" s="364">
        <v>49.37086798891022</v>
      </c>
      <c r="G478" s="365">
        <f t="shared" si="29"/>
        <v>2.5697828976517734</v>
      </c>
      <c r="H478" s="380">
        <f t="shared" si="32"/>
        <v>6.682027649769573E-2</v>
      </c>
    </row>
    <row r="479" spans="2:8">
      <c r="B479" s="363">
        <v>36373</v>
      </c>
      <c r="C479" s="364">
        <v>44.019336402101104</v>
      </c>
      <c r="D479" s="365">
        <f t="shared" si="30"/>
        <v>0.64794816414679435</v>
      </c>
      <c r="E479" s="362">
        <f t="shared" si="31"/>
        <v>5.9090909090907973E-2</v>
      </c>
      <c r="F479" s="364">
        <v>49.690765621667737</v>
      </c>
      <c r="G479" s="365">
        <f t="shared" si="29"/>
        <v>0.64794816414686096</v>
      </c>
      <c r="H479" s="380">
        <f t="shared" si="32"/>
        <v>5.9090909090909083E-2</v>
      </c>
    </row>
    <row r="480" spans="2:8">
      <c r="B480" s="363">
        <v>36404</v>
      </c>
      <c r="C480" s="364">
        <v>44.000443983044399</v>
      </c>
      <c r="D480" s="365">
        <f t="shared" si="30"/>
        <v>-4.291845493564761E-2</v>
      </c>
      <c r="E480" s="362">
        <f t="shared" si="31"/>
        <v>4.6741573033706407E-2</v>
      </c>
      <c r="F480" s="364">
        <v>49.669439112817237</v>
      </c>
      <c r="G480" s="365">
        <f t="shared" si="29"/>
        <v>-4.2918454935614303E-2</v>
      </c>
      <c r="H480" s="380">
        <f t="shared" si="32"/>
        <v>4.6741573033707962E-2</v>
      </c>
    </row>
    <row r="481" spans="2:8">
      <c r="B481" s="363">
        <v>36434</v>
      </c>
      <c r="C481" s="364">
        <v>44.227153011724802</v>
      </c>
      <c r="D481" s="365">
        <f t="shared" si="30"/>
        <v>0.51524259338784351</v>
      </c>
      <c r="E481" s="362">
        <f t="shared" si="31"/>
        <v>4.3226381461675789E-2</v>
      </c>
      <c r="F481" s="364">
        <v>49.925357219023248</v>
      </c>
      <c r="G481" s="365">
        <f t="shared" si="29"/>
        <v>0.51524259338771028</v>
      </c>
      <c r="H481" s="380">
        <f t="shared" si="32"/>
        <v>4.3226381461675567E-2</v>
      </c>
    </row>
    <row r="482" spans="2:8">
      <c r="B482" s="363">
        <v>36465</v>
      </c>
      <c r="C482" s="364">
        <v>44.3782923641784</v>
      </c>
      <c r="D482" s="365">
        <f t="shared" si="30"/>
        <v>0.34173430158059848</v>
      </c>
      <c r="E482" s="362">
        <f t="shared" si="31"/>
        <v>4.6325167037862824E-2</v>
      </c>
      <c r="F482" s="364">
        <v>50.095969289827259</v>
      </c>
      <c r="G482" s="365">
        <f t="shared" si="29"/>
        <v>0.34173430158053186</v>
      </c>
      <c r="H482" s="380">
        <f t="shared" si="32"/>
        <v>4.6325167037861936E-2</v>
      </c>
    </row>
    <row r="483" spans="2:8">
      <c r="B483" s="363">
        <v>36495</v>
      </c>
      <c r="C483" s="364">
        <v>44.586108973801998</v>
      </c>
      <c r="D483" s="365">
        <f t="shared" si="30"/>
        <v>0.46828437633021913</v>
      </c>
      <c r="E483" s="362">
        <f t="shared" si="31"/>
        <v>5.4041983028137786E-2</v>
      </c>
      <c r="F483" s="364">
        <v>50.33056088718277</v>
      </c>
      <c r="G483" s="365">
        <f t="shared" si="29"/>
        <v>0.46828437633035236</v>
      </c>
      <c r="H483" s="380">
        <f t="shared" si="32"/>
        <v>5.4041983028137563E-2</v>
      </c>
    </row>
    <row r="484" spans="2:8">
      <c r="B484" s="363">
        <v>36526</v>
      </c>
      <c r="C484" s="364">
        <v>45.1528815455029</v>
      </c>
      <c r="D484" s="365">
        <f t="shared" si="30"/>
        <v>1.2711864406780293</v>
      </c>
      <c r="E484" s="362">
        <f t="shared" si="31"/>
        <v>6.4113980409617355E-2</v>
      </c>
      <c r="F484" s="364">
        <v>50.970356152697811</v>
      </c>
      <c r="G484" s="365">
        <f t="shared" si="29"/>
        <v>1.2711864406779849</v>
      </c>
      <c r="H484" s="380">
        <f t="shared" si="32"/>
        <v>6.4113980409617355E-2</v>
      </c>
    </row>
    <row r="485" spans="2:8">
      <c r="B485" s="363">
        <v>36557</v>
      </c>
      <c r="C485" s="364">
        <v>45.795223793430502</v>
      </c>
      <c r="D485" s="365">
        <f t="shared" si="30"/>
        <v>1.4225941422592925</v>
      </c>
      <c r="E485" s="362">
        <f t="shared" si="31"/>
        <v>7.5421472936998857E-2</v>
      </c>
      <c r="F485" s="364">
        <v>51.69545745361485</v>
      </c>
      <c r="G485" s="365">
        <f t="shared" si="29"/>
        <v>1.4225941422594035</v>
      </c>
      <c r="H485" s="380">
        <f t="shared" si="32"/>
        <v>7.5421472937001077E-2</v>
      </c>
    </row>
    <row r="486" spans="2:8">
      <c r="B486" s="363">
        <v>36586</v>
      </c>
      <c r="C486" s="364">
        <v>46.739844746265298</v>
      </c>
      <c r="D486" s="365">
        <f t="shared" si="30"/>
        <v>2.0627062706270793</v>
      </c>
      <c r="E486" s="362">
        <f t="shared" si="31"/>
        <v>9.5659875996457311E-2</v>
      </c>
      <c r="F486" s="364">
        <v>52.761782896139906</v>
      </c>
      <c r="G486" s="365">
        <f t="shared" si="29"/>
        <v>2.0627062706270571</v>
      </c>
      <c r="H486" s="380">
        <f t="shared" si="32"/>
        <v>9.5659875996457089E-2</v>
      </c>
    </row>
    <row r="487" spans="2:8">
      <c r="B487" s="363">
        <v>36617</v>
      </c>
      <c r="C487" s="364">
        <v>47.136585546455898</v>
      </c>
      <c r="D487" s="365">
        <f t="shared" si="30"/>
        <v>0.84882780921582413</v>
      </c>
      <c r="E487" s="362">
        <f t="shared" si="31"/>
        <v>0.10105913503971675</v>
      </c>
      <c r="F487" s="364">
        <v>53.209639582000428</v>
      </c>
      <c r="G487" s="365">
        <f t="shared" si="29"/>
        <v>0.84882780921584633</v>
      </c>
      <c r="H487" s="380">
        <f t="shared" si="32"/>
        <v>0.10105913503971742</v>
      </c>
    </row>
    <row r="488" spans="2:8">
      <c r="B488" s="363">
        <v>36647</v>
      </c>
      <c r="C488" s="364">
        <v>47.325509737022898</v>
      </c>
      <c r="D488" s="365">
        <f t="shared" si="30"/>
        <v>0.40080160320650204</v>
      </c>
      <c r="E488" s="362">
        <f t="shared" si="31"/>
        <v>0.11037234042553323</v>
      </c>
      <c r="F488" s="364">
        <v>53.422904670505446</v>
      </c>
      <c r="G488" s="365">
        <f t="shared" si="29"/>
        <v>0.40080160320643543</v>
      </c>
      <c r="H488" s="380">
        <f t="shared" si="32"/>
        <v>0.11037234042553212</v>
      </c>
    </row>
    <row r="489" spans="2:8">
      <c r="B489" s="363">
        <v>36678</v>
      </c>
      <c r="C489" s="364">
        <v>47.0421234511725</v>
      </c>
      <c r="D489" s="365">
        <f t="shared" si="30"/>
        <v>-0.59880239520949674</v>
      </c>
      <c r="E489" s="362">
        <f t="shared" si="31"/>
        <v>0.10323438192290868</v>
      </c>
      <c r="F489" s="364">
        <v>53.103007037747922</v>
      </c>
      <c r="G489" s="365">
        <f t="shared" si="29"/>
        <v>-0.59880239520959666</v>
      </c>
      <c r="H489" s="380">
        <f t="shared" si="32"/>
        <v>0.10323438192290668</v>
      </c>
    </row>
    <row r="490" spans="2:8">
      <c r="B490" s="363">
        <v>36708</v>
      </c>
      <c r="C490" s="364">
        <v>47.155477965512603</v>
      </c>
      <c r="D490" s="365">
        <f t="shared" si="30"/>
        <v>0.24096385542153875</v>
      </c>
      <c r="E490" s="362">
        <f t="shared" si="31"/>
        <v>7.8185745140388008E-2</v>
      </c>
      <c r="F490" s="364">
        <v>53.230966090850927</v>
      </c>
      <c r="G490" s="365">
        <f t="shared" si="29"/>
        <v>0.24096385542169418</v>
      </c>
      <c r="H490" s="380">
        <f t="shared" si="32"/>
        <v>7.8185745140388674E-2</v>
      </c>
    </row>
    <row r="491" spans="2:8">
      <c r="B491" s="363">
        <v>36739</v>
      </c>
      <c r="C491" s="364">
        <v>47.457756670419798</v>
      </c>
      <c r="D491" s="365">
        <f t="shared" si="30"/>
        <v>0.64102564102577198</v>
      </c>
      <c r="E491" s="362">
        <f t="shared" si="31"/>
        <v>7.8111587982834241E-2</v>
      </c>
      <c r="F491" s="364">
        <v>53.572190232458951</v>
      </c>
      <c r="G491" s="365">
        <f t="shared" si="29"/>
        <v>0.64102564102566095</v>
      </c>
      <c r="H491" s="380">
        <f t="shared" si="32"/>
        <v>7.8111587982832686E-2</v>
      </c>
    </row>
    <row r="492" spans="2:8">
      <c r="B492" s="363">
        <v>36770</v>
      </c>
      <c r="C492" s="364">
        <v>48.1567761755175</v>
      </c>
      <c r="D492" s="365">
        <f t="shared" si="30"/>
        <v>1.4729299363056336</v>
      </c>
      <c r="E492" s="362">
        <f t="shared" si="31"/>
        <v>9.4461142121082808E-2</v>
      </c>
      <c r="F492" s="364">
        <v>54.361271059927496</v>
      </c>
      <c r="G492" s="365">
        <f t="shared" si="29"/>
        <v>1.4729299363057446</v>
      </c>
      <c r="H492" s="380">
        <f t="shared" si="32"/>
        <v>9.446114212108192E-2</v>
      </c>
    </row>
    <row r="493" spans="2:8">
      <c r="B493" s="363">
        <v>36800</v>
      </c>
      <c r="C493" s="364">
        <v>48.440162461367898</v>
      </c>
      <c r="D493" s="365">
        <f t="shared" si="30"/>
        <v>0.58846606512350519</v>
      </c>
      <c r="E493" s="362">
        <f t="shared" si="31"/>
        <v>9.5258436565568871E-2</v>
      </c>
      <c r="F493" s="364">
        <v>54.681168692685006</v>
      </c>
      <c r="G493" s="365">
        <f t="shared" si="29"/>
        <v>0.5884660651235718</v>
      </c>
      <c r="H493" s="380">
        <f t="shared" si="32"/>
        <v>9.5258436565570204E-2</v>
      </c>
    </row>
    <row r="494" spans="2:8">
      <c r="B494" s="363">
        <v>36831</v>
      </c>
      <c r="C494" s="364">
        <v>48.629086651934898</v>
      </c>
      <c r="D494" s="365">
        <f t="shared" si="30"/>
        <v>0.39001560062410512</v>
      </c>
      <c r="E494" s="362">
        <f t="shared" si="31"/>
        <v>9.578544061302563E-2</v>
      </c>
      <c r="F494" s="364">
        <v>54.894433781190017</v>
      </c>
      <c r="G494" s="365">
        <f t="shared" si="29"/>
        <v>0.3900156006240163</v>
      </c>
      <c r="H494" s="380">
        <f t="shared" si="32"/>
        <v>9.578544061302674E-2</v>
      </c>
    </row>
    <row r="495" spans="2:8">
      <c r="B495" s="363">
        <v>36861</v>
      </c>
      <c r="C495" s="364">
        <v>48.440162461367898</v>
      </c>
      <c r="D495" s="365">
        <f t="shared" si="30"/>
        <v>-0.38850038850047897</v>
      </c>
      <c r="E495" s="362">
        <f t="shared" si="31"/>
        <v>8.6440677966100887E-2</v>
      </c>
      <c r="F495" s="364">
        <v>54.681168692685006</v>
      </c>
      <c r="G495" s="365">
        <f t="shared" si="29"/>
        <v>-0.38850038850039015</v>
      </c>
      <c r="H495" s="380">
        <f t="shared" si="32"/>
        <v>8.6440677966101553E-2</v>
      </c>
    </row>
    <row r="496" spans="2:8">
      <c r="B496" s="363">
        <v>36892</v>
      </c>
      <c r="C496" s="364">
        <v>49.158074385522397</v>
      </c>
      <c r="D496" s="365">
        <f t="shared" si="30"/>
        <v>1.4820592823714174</v>
      </c>
      <c r="E496" s="362">
        <f t="shared" si="31"/>
        <v>8.8702928870292741E-2</v>
      </c>
      <c r="F496" s="364">
        <v>55.491576029004051</v>
      </c>
      <c r="G496" s="365">
        <f t="shared" si="29"/>
        <v>1.4820592823713064</v>
      </c>
      <c r="H496" s="380">
        <f t="shared" si="32"/>
        <v>8.8702928870292741E-2</v>
      </c>
    </row>
    <row r="497" spans="2:8">
      <c r="B497" s="363">
        <v>36923</v>
      </c>
      <c r="C497" s="364">
        <v>49.479245509486198</v>
      </c>
      <c r="D497" s="365">
        <f t="shared" si="30"/>
        <v>0.65334358186004415</v>
      </c>
      <c r="E497" s="362">
        <f t="shared" si="31"/>
        <v>8.0445544554456072E-2</v>
      </c>
      <c r="F497" s="364">
        <v>55.854126679462574</v>
      </c>
      <c r="G497" s="365">
        <f t="shared" si="29"/>
        <v>0.65334358186011077</v>
      </c>
      <c r="H497" s="380">
        <f t="shared" si="32"/>
        <v>8.0445544554455406E-2</v>
      </c>
    </row>
    <row r="498" spans="2:8">
      <c r="B498" s="363">
        <v>36951</v>
      </c>
      <c r="C498" s="364">
        <v>50.386081624207598</v>
      </c>
      <c r="D498" s="365">
        <f t="shared" si="30"/>
        <v>1.8327605956472093</v>
      </c>
      <c r="E498" s="362">
        <f t="shared" si="31"/>
        <v>7.8011317704123284E-2</v>
      </c>
      <c r="F498" s="364">
        <v>56.87779910428663</v>
      </c>
      <c r="G498" s="365">
        <f t="shared" si="29"/>
        <v>1.8327605956471871</v>
      </c>
      <c r="H498" s="380">
        <f t="shared" si="32"/>
        <v>7.801131770412284E-2</v>
      </c>
    </row>
    <row r="499" spans="2:8">
      <c r="B499" s="363">
        <v>36982</v>
      </c>
      <c r="C499" s="364">
        <v>50.820607262511601</v>
      </c>
      <c r="D499" s="365">
        <f t="shared" si="30"/>
        <v>0.8623922009748819</v>
      </c>
      <c r="E499" s="362">
        <f t="shared" si="31"/>
        <v>7.8156312625251134E-2</v>
      </c>
      <c r="F499" s="364">
        <v>57.368308807848159</v>
      </c>
      <c r="G499" s="365">
        <f t="shared" si="29"/>
        <v>0.8623922009748819</v>
      </c>
      <c r="H499" s="380">
        <f t="shared" si="32"/>
        <v>7.8156312625250468E-2</v>
      </c>
    </row>
    <row r="500" spans="2:8">
      <c r="B500" s="363">
        <v>37012</v>
      </c>
      <c r="C500" s="364">
        <v>50.480543719491102</v>
      </c>
      <c r="D500" s="365">
        <f t="shared" si="30"/>
        <v>-0.66914498141259493</v>
      </c>
      <c r="E500" s="362">
        <f t="shared" si="31"/>
        <v>6.6666666666666874E-2</v>
      </c>
      <c r="F500" s="364">
        <v>56.984431648539136</v>
      </c>
      <c r="G500" s="365">
        <f t="shared" si="29"/>
        <v>-0.66914498141263934</v>
      </c>
      <c r="H500" s="380">
        <f t="shared" si="32"/>
        <v>6.6666666666666652E-2</v>
      </c>
    </row>
    <row r="501" spans="2:8">
      <c r="B501" s="363">
        <v>37043</v>
      </c>
      <c r="C501" s="364">
        <v>50.178265014583999</v>
      </c>
      <c r="D501" s="365">
        <f t="shared" si="30"/>
        <v>-0.59880239520951895</v>
      </c>
      <c r="E501" s="362">
        <f t="shared" si="31"/>
        <v>6.6666666666666652E-2</v>
      </c>
      <c r="F501" s="364">
        <v>56.643207506931127</v>
      </c>
      <c r="G501" s="365">
        <f t="shared" ref="G501:G564" si="33">+((F501/F500)-1)*100</f>
        <v>-0.59880239520956335</v>
      </c>
      <c r="H501" s="380">
        <f t="shared" si="32"/>
        <v>6.6666666666666874E-2</v>
      </c>
    </row>
    <row r="502" spans="2:8">
      <c r="B502" s="363">
        <v>37073</v>
      </c>
      <c r="C502" s="364">
        <v>50.386081624207598</v>
      </c>
      <c r="D502" s="365">
        <f t="shared" si="30"/>
        <v>0.41415662650592378</v>
      </c>
      <c r="E502" s="362">
        <f t="shared" si="31"/>
        <v>6.8509615384615863E-2</v>
      </c>
      <c r="F502" s="364">
        <v>56.87779910428663</v>
      </c>
      <c r="G502" s="365">
        <f t="shared" si="33"/>
        <v>0.41415662650601259</v>
      </c>
      <c r="H502" s="380">
        <f t="shared" si="32"/>
        <v>6.8509615384615419E-2</v>
      </c>
    </row>
    <row r="503" spans="2:8">
      <c r="B503" s="363">
        <v>37104</v>
      </c>
      <c r="C503" s="364">
        <v>50.877284519681702</v>
      </c>
      <c r="D503" s="365">
        <f t="shared" si="30"/>
        <v>0.97487814023249353</v>
      </c>
      <c r="E503" s="362">
        <f t="shared" si="31"/>
        <v>7.2054140127387756E-2</v>
      </c>
      <c r="F503" s="364">
        <v>57.432288334399665</v>
      </c>
      <c r="G503" s="365">
        <f t="shared" si="33"/>
        <v>0.97487814023247132</v>
      </c>
      <c r="H503" s="380">
        <f t="shared" si="32"/>
        <v>7.2054140127388644E-2</v>
      </c>
    </row>
    <row r="504" spans="2:8">
      <c r="B504" s="363">
        <v>37135</v>
      </c>
      <c r="C504" s="364">
        <v>51.236240481758898</v>
      </c>
      <c r="D504" s="365">
        <f t="shared" si="30"/>
        <v>0.70553286297805329</v>
      </c>
      <c r="E504" s="362">
        <f t="shared" si="31"/>
        <v>6.3946645743428565E-2</v>
      </c>
      <c r="F504" s="364">
        <v>57.837492002559181</v>
      </c>
      <c r="G504" s="365">
        <f t="shared" si="33"/>
        <v>0.70553286297807549</v>
      </c>
      <c r="H504" s="380">
        <f t="shared" si="32"/>
        <v>6.3946645743428565E-2</v>
      </c>
    </row>
    <row r="505" spans="2:8">
      <c r="B505" s="363">
        <v>37165</v>
      </c>
      <c r="C505" s="364">
        <v>51.462949510439302</v>
      </c>
      <c r="D505" s="365">
        <f t="shared" si="30"/>
        <v>0.4424778761062953</v>
      </c>
      <c r="E505" s="362">
        <f t="shared" si="31"/>
        <v>6.2402496099845717E-2</v>
      </c>
      <c r="F505" s="364">
        <v>58.093410108765198</v>
      </c>
      <c r="G505" s="365">
        <f t="shared" si="33"/>
        <v>0.44247787610620648</v>
      </c>
      <c r="H505" s="380">
        <f t="shared" si="32"/>
        <v>6.2402496099844162E-2</v>
      </c>
    </row>
    <row r="506" spans="2:8">
      <c r="B506" s="363">
        <v>37196</v>
      </c>
      <c r="C506" s="364">
        <v>51.746335796289699</v>
      </c>
      <c r="D506" s="365">
        <f t="shared" si="30"/>
        <v>0.55066079295147397</v>
      </c>
      <c r="E506" s="362">
        <f t="shared" si="31"/>
        <v>6.4102564102564097E-2</v>
      </c>
      <c r="F506" s="364">
        <v>58.413307741522715</v>
      </c>
      <c r="G506" s="365">
        <f t="shared" si="33"/>
        <v>0.55066079295154058</v>
      </c>
      <c r="H506" s="380">
        <f t="shared" si="32"/>
        <v>6.4102564102564097E-2</v>
      </c>
    </row>
    <row r="507" spans="2:8">
      <c r="B507" s="363">
        <v>37226</v>
      </c>
      <c r="C507" s="364">
        <v>52.502032558557502</v>
      </c>
      <c r="D507" s="365">
        <f t="shared" si="30"/>
        <v>1.4603870025556187</v>
      </c>
      <c r="E507" s="362">
        <f t="shared" si="31"/>
        <v>8.3853354134165725E-2</v>
      </c>
      <c r="F507" s="364">
        <v>59.266368095542759</v>
      </c>
      <c r="G507" s="365">
        <f t="shared" si="33"/>
        <v>1.4603870025556631</v>
      </c>
      <c r="H507" s="380">
        <f t="shared" si="32"/>
        <v>8.3853354134165503E-2</v>
      </c>
    </row>
    <row r="508" spans="2:8">
      <c r="B508" s="363">
        <v>37257</v>
      </c>
      <c r="C508" s="364">
        <v>52.978959025470701</v>
      </c>
      <c r="D508" s="365">
        <f t="shared" si="30"/>
        <v>0.90839619662583804</v>
      </c>
      <c r="E508" s="362">
        <f t="shared" si="31"/>
        <v>7.7726491277567256E-2</v>
      </c>
      <c r="F508" s="364">
        <v>59.778204307954795</v>
      </c>
      <c r="G508" s="365">
        <f t="shared" si="33"/>
        <v>0.8636200071968414</v>
      </c>
      <c r="H508" s="380">
        <f t="shared" si="32"/>
        <v>7.7248270561107057E-2</v>
      </c>
    </row>
    <row r="509" spans="2:8">
      <c r="B509" s="363">
        <v>37288</v>
      </c>
      <c r="C509" s="364">
        <v>52.978959025470701</v>
      </c>
      <c r="D509" s="365">
        <f t="shared" si="30"/>
        <v>0</v>
      </c>
      <c r="E509" s="362">
        <f t="shared" si="31"/>
        <v>7.0730939405968307E-2</v>
      </c>
      <c r="F509" s="364">
        <v>59.799530816805287</v>
      </c>
      <c r="G509" s="365">
        <f t="shared" si="33"/>
        <v>3.567606136281043E-2</v>
      </c>
      <c r="H509" s="380">
        <f t="shared" si="32"/>
        <v>7.0637647957235483E-2</v>
      </c>
    </row>
    <row r="510" spans="2:8">
      <c r="B510" s="363">
        <v>37316</v>
      </c>
      <c r="C510" s="364">
        <v>53.687707641195999</v>
      </c>
      <c r="D510" s="365">
        <f t="shared" si="30"/>
        <v>1.3377926421403563</v>
      </c>
      <c r="E510" s="362">
        <f t="shared" si="31"/>
        <v>6.5526548414952757E-2</v>
      </c>
      <c r="F510" s="364">
        <v>60.567285135423333</v>
      </c>
      <c r="G510" s="365">
        <f t="shared" si="33"/>
        <v>1.2838801711840375</v>
      </c>
      <c r="H510" s="380">
        <f t="shared" si="32"/>
        <v>6.4866891638545088E-2</v>
      </c>
    </row>
    <row r="511" spans="2:8">
      <c r="B511" s="363">
        <v>37347</v>
      </c>
      <c r="C511" s="364">
        <v>53.953488372092998</v>
      </c>
      <c r="D511" s="365">
        <f t="shared" si="30"/>
        <v>0.49504950495047328</v>
      </c>
      <c r="E511" s="362">
        <f t="shared" si="31"/>
        <v>6.1645881037954542E-2</v>
      </c>
      <c r="F511" s="364">
        <v>60.86585625933035</v>
      </c>
      <c r="G511" s="365">
        <f t="shared" si="33"/>
        <v>0.49295774647888368</v>
      </c>
      <c r="H511" s="380">
        <f t="shared" si="32"/>
        <v>6.0966542750929387E-2</v>
      </c>
    </row>
    <row r="512" spans="2:8">
      <c r="B512" s="363">
        <v>37377</v>
      </c>
      <c r="C512" s="364">
        <v>53.864894795127299</v>
      </c>
      <c r="D512" s="365">
        <f t="shared" si="30"/>
        <v>-0.16420361247952986</v>
      </c>
      <c r="E512" s="362">
        <f t="shared" si="31"/>
        <v>6.7042682710437118E-2</v>
      </c>
      <c r="F512" s="364">
        <v>60.84452975047985</v>
      </c>
      <c r="G512" s="365">
        <f t="shared" si="33"/>
        <v>-3.5038542396637062E-2</v>
      </c>
      <c r="H512" s="380">
        <f t="shared" si="32"/>
        <v>6.7739520958083776E-2</v>
      </c>
    </row>
    <row r="513" spans="2:8">
      <c r="B513" s="363">
        <v>37408</v>
      </c>
      <c r="C513" s="364">
        <v>54.928017718715402</v>
      </c>
      <c r="D513" s="365">
        <f t="shared" si="30"/>
        <v>1.9736842105264385</v>
      </c>
      <c r="E513" s="362">
        <f t="shared" si="31"/>
        <v>9.4657571415650121E-2</v>
      </c>
      <c r="F513" s="364">
        <v>61.953508210705913</v>
      </c>
      <c r="G513" s="365">
        <f t="shared" si="33"/>
        <v>1.822642832106558</v>
      </c>
      <c r="H513" s="380">
        <f t="shared" si="32"/>
        <v>9.3749999999999778E-2</v>
      </c>
    </row>
    <row r="514" spans="2:8">
      <c r="B514" s="363">
        <v>37438</v>
      </c>
      <c r="C514" s="364">
        <v>56.345514950166098</v>
      </c>
      <c r="D514" s="365">
        <f t="shared" si="30"/>
        <v>2.5806451612902848</v>
      </c>
      <c r="E514" s="362">
        <f t="shared" si="31"/>
        <v>0.1182753874453959</v>
      </c>
      <c r="F514" s="364">
        <v>63.616975901045009</v>
      </c>
      <c r="G514" s="365">
        <f t="shared" si="33"/>
        <v>2.6850258175559416</v>
      </c>
      <c r="H514" s="380">
        <f t="shared" si="32"/>
        <v>0.11848518935133123</v>
      </c>
    </row>
    <row r="515" spans="2:8">
      <c r="B515" s="363">
        <v>37469</v>
      </c>
      <c r="C515" s="364">
        <v>57.674418604651201</v>
      </c>
      <c r="D515" s="365">
        <f t="shared" si="30"/>
        <v>2.3584905660378297</v>
      </c>
      <c r="E515" s="362">
        <f t="shared" si="31"/>
        <v>0.13359860199181917</v>
      </c>
      <c r="F515" s="364">
        <v>65.08850501172958</v>
      </c>
      <c r="G515" s="365">
        <f t="shared" si="33"/>
        <v>2.3131076097887782</v>
      </c>
      <c r="H515" s="380">
        <f t="shared" si="32"/>
        <v>0.13330857779428129</v>
      </c>
    </row>
    <row r="516" spans="2:8">
      <c r="B516" s="363">
        <v>37500</v>
      </c>
      <c r="C516" s="364">
        <v>58.294573643410899</v>
      </c>
      <c r="D516" s="365">
        <f t="shared" si="30"/>
        <v>1.0752688172043223</v>
      </c>
      <c r="E516" s="362">
        <f t="shared" si="31"/>
        <v>0.13776055962117106</v>
      </c>
      <c r="F516" s="364">
        <v>65.834932821497119</v>
      </c>
      <c r="G516" s="365">
        <f t="shared" si="33"/>
        <v>1.1467889908256756</v>
      </c>
      <c r="H516" s="380">
        <f t="shared" si="32"/>
        <v>0.13827433628318575</v>
      </c>
    </row>
    <row r="517" spans="2:8">
      <c r="B517" s="363">
        <v>37530</v>
      </c>
      <c r="C517" s="364">
        <v>58.560354374307899</v>
      </c>
      <c r="D517" s="365">
        <f t="shared" ref="D517:D580" si="34">+((C517/C516)-1)*100</f>
        <v>0.45592705167172287</v>
      </c>
      <c r="E517" s="362">
        <f t="shared" si="31"/>
        <v>0.13791290494200847</v>
      </c>
      <c r="F517" s="364">
        <v>66.112177436553637</v>
      </c>
      <c r="G517" s="365">
        <f t="shared" si="33"/>
        <v>0.421120829284094</v>
      </c>
      <c r="H517" s="380">
        <f t="shared" si="32"/>
        <v>0.13803230543318645</v>
      </c>
    </row>
    <row r="518" spans="2:8">
      <c r="B518" s="363">
        <v>37561</v>
      </c>
      <c r="C518" s="364">
        <v>59.269102990033197</v>
      </c>
      <c r="D518" s="365">
        <f t="shared" si="34"/>
        <v>1.2102874432676769</v>
      </c>
      <c r="E518" s="362">
        <f t="shared" si="31"/>
        <v>0.14537777560441079</v>
      </c>
      <c r="F518" s="364">
        <v>66.943911281723189</v>
      </c>
      <c r="G518" s="365">
        <f t="shared" si="33"/>
        <v>1.2580645161290427</v>
      </c>
      <c r="H518" s="380">
        <f t="shared" si="32"/>
        <v>0.14603870025556787</v>
      </c>
    </row>
    <row r="519" spans="2:8">
      <c r="B519" s="363">
        <v>37591</v>
      </c>
      <c r="C519" s="364">
        <v>60.155038759689901</v>
      </c>
      <c r="D519" s="365">
        <f t="shared" si="34"/>
        <v>1.4947683109118204</v>
      </c>
      <c r="E519" s="362">
        <f t="shared" si="31"/>
        <v>0.1457659033028238</v>
      </c>
      <c r="F519" s="364">
        <v>67.946257197696752</v>
      </c>
      <c r="G519" s="365">
        <f t="shared" si="33"/>
        <v>1.4972921312520038</v>
      </c>
      <c r="H519" s="380">
        <f t="shared" si="32"/>
        <v>0.14645555955379663</v>
      </c>
    </row>
    <row r="520" spans="2:8">
      <c r="B520" s="363">
        <v>37622</v>
      </c>
      <c r="C520" s="364">
        <v>62.547065337763001</v>
      </c>
      <c r="D520" s="365">
        <f t="shared" si="34"/>
        <v>3.9764359351988299</v>
      </c>
      <c r="E520" s="362">
        <f t="shared" si="31"/>
        <v>0.18060200668896198</v>
      </c>
      <c r="F520" s="364">
        <v>70.633397312859884</v>
      </c>
      <c r="G520" s="365">
        <f t="shared" si="33"/>
        <v>3.9548022598869803</v>
      </c>
      <c r="H520" s="380">
        <f t="shared" si="32"/>
        <v>0.18159115233678191</v>
      </c>
    </row>
    <row r="521" spans="2:8">
      <c r="B521" s="363">
        <v>37653</v>
      </c>
      <c r="C521" s="364">
        <v>63.698781838316698</v>
      </c>
      <c r="D521" s="365">
        <f t="shared" si="34"/>
        <v>1.8413597733710763</v>
      </c>
      <c r="E521" s="362">
        <f t="shared" si="31"/>
        <v>0.20234113712374424</v>
      </c>
      <c r="F521" s="364">
        <v>71.891661335039458</v>
      </c>
      <c r="G521" s="365">
        <f t="shared" si="33"/>
        <v>1.7814009661835772</v>
      </c>
      <c r="H521" s="380">
        <f t="shared" si="32"/>
        <v>0.20221112696148369</v>
      </c>
    </row>
    <row r="522" spans="2:8">
      <c r="B522" s="363">
        <v>37681</v>
      </c>
      <c r="C522" s="364">
        <v>64.496124031007795</v>
      </c>
      <c r="D522" s="365">
        <f t="shared" si="34"/>
        <v>1.2517385257302838</v>
      </c>
      <c r="E522" s="362">
        <f t="shared" si="31"/>
        <v>0.20132013201320254</v>
      </c>
      <c r="F522" s="364">
        <v>72.787374706760517</v>
      </c>
      <c r="G522" s="365">
        <f t="shared" si="33"/>
        <v>1.2459210916642149</v>
      </c>
      <c r="H522" s="380">
        <f t="shared" si="32"/>
        <v>0.20176056338028192</v>
      </c>
    </row>
    <row r="523" spans="2:8">
      <c r="B523" s="363">
        <v>37712</v>
      </c>
      <c r="C523" s="364">
        <v>65.204872646733094</v>
      </c>
      <c r="D523" s="365">
        <f t="shared" si="34"/>
        <v>1.0989010989010062</v>
      </c>
      <c r="E523" s="362">
        <f t="shared" si="31"/>
        <v>0.20853858784893298</v>
      </c>
      <c r="F523" s="364">
        <v>73.640435060780561</v>
      </c>
      <c r="G523" s="365">
        <f t="shared" si="33"/>
        <v>1.1719894520949348</v>
      </c>
      <c r="H523" s="380">
        <f t="shared" si="32"/>
        <v>0.20988086895585156</v>
      </c>
    </row>
    <row r="524" spans="2:8">
      <c r="B524" s="363">
        <v>37742</v>
      </c>
      <c r="C524" s="364">
        <v>64.496124031007795</v>
      </c>
      <c r="D524" s="365">
        <f t="shared" si="34"/>
        <v>-1.0869565217390353</v>
      </c>
      <c r="E524" s="362">
        <f t="shared" si="31"/>
        <v>0.19736842105263364</v>
      </c>
      <c r="F524" s="364">
        <v>72.76604819791001</v>
      </c>
      <c r="G524" s="365">
        <f t="shared" si="33"/>
        <v>-1.1873732985809515</v>
      </c>
      <c r="H524" s="380">
        <f t="shared" si="32"/>
        <v>0.19593410445145465</v>
      </c>
    </row>
    <row r="525" spans="2:8">
      <c r="B525" s="363">
        <v>37773</v>
      </c>
      <c r="C525" s="364">
        <v>63.521594684385398</v>
      </c>
      <c r="D525" s="365">
        <f t="shared" si="34"/>
        <v>-1.51098901098905</v>
      </c>
      <c r="E525" s="362">
        <f t="shared" si="31"/>
        <v>0.15645161290322585</v>
      </c>
      <c r="F525" s="364">
        <v>71.69972275538494</v>
      </c>
      <c r="G525" s="365">
        <f t="shared" si="33"/>
        <v>-1.4654161781946229</v>
      </c>
      <c r="H525" s="380">
        <f t="shared" si="32"/>
        <v>0.157314974182444</v>
      </c>
    </row>
    <row r="526" spans="2:8">
      <c r="B526" s="363">
        <v>37803</v>
      </c>
      <c r="C526" s="364">
        <v>63.078626799557</v>
      </c>
      <c r="D526" s="365">
        <f t="shared" si="34"/>
        <v>-0.69735006973508096</v>
      </c>
      <c r="E526" s="362">
        <f t="shared" si="31"/>
        <v>0.1194968553459117</v>
      </c>
      <c r="F526" s="364">
        <v>71.230539560673918</v>
      </c>
      <c r="G526" s="365">
        <f t="shared" si="33"/>
        <v>-0.65437239738250774</v>
      </c>
      <c r="H526" s="380">
        <f t="shared" si="32"/>
        <v>0.11967817633255096</v>
      </c>
    </row>
    <row r="527" spans="2:8">
      <c r="B527" s="363">
        <v>37834</v>
      </c>
      <c r="C527" s="364">
        <v>62.9900332225914</v>
      </c>
      <c r="D527" s="365">
        <f t="shared" si="34"/>
        <v>-0.14044943820213929</v>
      </c>
      <c r="E527" s="362">
        <f t="shared" si="31"/>
        <v>9.2165898617511344E-2</v>
      </c>
      <c r="F527" s="364">
        <v>71.059927489869906</v>
      </c>
      <c r="G527" s="365">
        <f t="shared" si="33"/>
        <v>-0.23952095808383866</v>
      </c>
      <c r="H527" s="380">
        <f t="shared" si="32"/>
        <v>9.174311926605494E-2</v>
      </c>
    </row>
    <row r="528" spans="2:8">
      <c r="B528" s="363">
        <v>37865</v>
      </c>
      <c r="C528" s="364">
        <v>63.078626799557</v>
      </c>
      <c r="D528" s="365">
        <f t="shared" si="34"/>
        <v>0.14064697608990873</v>
      </c>
      <c r="E528" s="362">
        <f t="shared" si="31"/>
        <v>8.2066869300910339E-2</v>
      </c>
      <c r="F528" s="364">
        <v>71.166560034122412</v>
      </c>
      <c r="G528" s="365">
        <f t="shared" si="33"/>
        <v>0.15006002400961282</v>
      </c>
      <c r="H528" s="380">
        <f t="shared" si="32"/>
        <v>8.0984774862325803E-2</v>
      </c>
    </row>
    <row r="529" spans="2:8">
      <c r="B529" s="363">
        <v>37895</v>
      </c>
      <c r="C529" s="364">
        <v>64.318936877076396</v>
      </c>
      <c r="D529" s="365">
        <f t="shared" si="34"/>
        <v>1.9662921348314821</v>
      </c>
      <c r="E529" s="362">
        <f t="shared" ref="E529:E592" si="35">+(C529/C517)-1</f>
        <v>9.833585476550577E-2</v>
      </c>
      <c r="F529" s="364">
        <v>72.638089144807012</v>
      </c>
      <c r="G529" s="365">
        <f t="shared" si="33"/>
        <v>2.0677255019478924</v>
      </c>
      <c r="H529" s="380">
        <f t="shared" ref="H529:H592" si="36">+(F529/F517)-1</f>
        <v>9.8709677419354991E-2</v>
      </c>
    </row>
    <row r="530" spans="2:8">
      <c r="B530" s="363">
        <v>37926</v>
      </c>
      <c r="C530" s="364">
        <v>65.204872646733094</v>
      </c>
      <c r="D530" s="365">
        <f t="shared" si="34"/>
        <v>1.377410468319562</v>
      </c>
      <c r="E530" s="362">
        <f t="shared" si="35"/>
        <v>0.10014947683109132</v>
      </c>
      <c r="F530" s="364">
        <v>73.597782043079562</v>
      </c>
      <c r="G530" s="365">
        <f t="shared" si="33"/>
        <v>1.3211978860833806</v>
      </c>
      <c r="H530" s="380">
        <f t="shared" si="36"/>
        <v>9.9394711691621618E-2</v>
      </c>
    </row>
    <row r="531" spans="2:8">
      <c r="B531" s="363">
        <v>37956</v>
      </c>
      <c r="C531" s="364">
        <v>65.825027685492799</v>
      </c>
      <c r="D531" s="365">
        <f t="shared" si="34"/>
        <v>0.95108695652177389</v>
      </c>
      <c r="E531" s="362">
        <f t="shared" si="35"/>
        <v>9.4256259204713144E-2</v>
      </c>
      <c r="F531" s="364">
        <v>74.280230326295595</v>
      </c>
      <c r="G531" s="365">
        <f t="shared" si="33"/>
        <v>0.92726745870761462</v>
      </c>
      <c r="H531" s="380">
        <f t="shared" si="36"/>
        <v>9.3220338983050821E-2</v>
      </c>
    </row>
    <row r="532" spans="2:8">
      <c r="B532" s="363">
        <v>37987</v>
      </c>
      <c r="C532" s="364">
        <v>66.002214839424099</v>
      </c>
      <c r="D532" s="365">
        <f t="shared" si="34"/>
        <v>0.26917900403762296</v>
      </c>
      <c r="E532" s="362">
        <f t="shared" si="35"/>
        <v>5.5240793201132732E-2</v>
      </c>
      <c r="F532" s="364">
        <v>74.514821923651098</v>
      </c>
      <c r="G532" s="365">
        <f t="shared" si="33"/>
        <v>0.31581969566465418</v>
      </c>
      <c r="H532" s="380">
        <f t="shared" si="36"/>
        <v>5.495169082125595E-2</v>
      </c>
    </row>
    <row r="533" spans="2:8">
      <c r="B533" s="363">
        <v>38018</v>
      </c>
      <c r="C533" s="364">
        <v>66.090808416389805</v>
      </c>
      <c r="D533" s="365">
        <f t="shared" si="34"/>
        <v>0.13422818791952729</v>
      </c>
      <c r="E533" s="362">
        <f t="shared" si="35"/>
        <v>3.7552155771905626E-2</v>
      </c>
      <c r="F533" s="364">
        <v>74.621454467903604</v>
      </c>
      <c r="G533" s="365">
        <f t="shared" si="33"/>
        <v>0.14310246136233218</v>
      </c>
      <c r="H533" s="380">
        <f t="shared" si="36"/>
        <v>3.7970928507861101E-2</v>
      </c>
    </row>
    <row r="534" spans="2:8">
      <c r="B534" s="363">
        <v>38047</v>
      </c>
      <c r="C534" s="364">
        <v>66.445182724252504</v>
      </c>
      <c r="D534" s="365">
        <f t="shared" si="34"/>
        <v>0.53619302949063918</v>
      </c>
      <c r="E534" s="362">
        <f t="shared" si="35"/>
        <v>3.0219780219779668E-2</v>
      </c>
      <c r="F534" s="364">
        <v>74.962678609511627</v>
      </c>
      <c r="G534" s="365">
        <f t="shared" si="33"/>
        <v>0.45727350671620481</v>
      </c>
      <c r="H534" s="380">
        <f t="shared" si="36"/>
        <v>2.9885731028420626E-2</v>
      </c>
    </row>
    <row r="535" spans="2:8">
      <c r="B535" s="363">
        <v>38078</v>
      </c>
      <c r="C535" s="364">
        <v>66.267995570321105</v>
      </c>
      <c r="D535" s="365">
        <f t="shared" si="34"/>
        <v>-0.26666666666675942</v>
      </c>
      <c r="E535" s="362">
        <f t="shared" si="35"/>
        <v>1.6304347826086474E-2</v>
      </c>
      <c r="F535" s="364">
        <v>74.834719556408615</v>
      </c>
      <c r="G535" s="365">
        <f t="shared" si="33"/>
        <v>-0.17069701280227889</v>
      </c>
      <c r="H535" s="380">
        <f t="shared" si="36"/>
        <v>1.6217781639154216E-2</v>
      </c>
    </row>
    <row r="536" spans="2:8">
      <c r="B536" s="363">
        <v>38108</v>
      </c>
      <c r="C536" s="364">
        <v>66.445182724252504</v>
      </c>
      <c r="D536" s="365">
        <f t="shared" si="34"/>
        <v>0.26737967914447491</v>
      </c>
      <c r="E536" s="362">
        <f t="shared" si="35"/>
        <v>3.0219780219779668E-2</v>
      </c>
      <c r="F536" s="364">
        <v>75.005331627212627</v>
      </c>
      <c r="G536" s="365">
        <f t="shared" si="33"/>
        <v>0.2279851809632305</v>
      </c>
      <c r="H536" s="380">
        <f t="shared" si="36"/>
        <v>3.0773739742086637E-2</v>
      </c>
    </row>
    <row r="537" spans="2:8">
      <c r="B537" s="363">
        <v>38139</v>
      </c>
      <c r="C537" s="364">
        <v>67.065337763012195</v>
      </c>
      <c r="D537" s="365">
        <f t="shared" si="34"/>
        <v>0.93333333333334156</v>
      </c>
      <c r="E537" s="362">
        <f t="shared" si="35"/>
        <v>5.5788005578800481E-2</v>
      </c>
      <c r="F537" s="364">
        <v>75.666453401578167</v>
      </c>
      <c r="G537" s="365">
        <f t="shared" si="33"/>
        <v>0.88143303952232799</v>
      </c>
      <c r="H537" s="380">
        <f t="shared" si="36"/>
        <v>5.532421177870317E-2</v>
      </c>
    </row>
    <row r="538" spans="2:8">
      <c r="B538" s="363">
        <v>38169</v>
      </c>
      <c r="C538" s="364">
        <v>67.153931339977802</v>
      </c>
      <c r="D538" s="365">
        <f t="shared" si="34"/>
        <v>0.1321003963010936</v>
      </c>
      <c r="E538" s="362">
        <f t="shared" si="35"/>
        <v>6.4606741573033366E-2</v>
      </c>
      <c r="F538" s="364">
        <v>75.794412454681165</v>
      </c>
      <c r="G538" s="365">
        <f t="shared" si="33"/>
        <v>0.16910935738443378</v>
      </c>
      <c r="H538" s="380">
        <f t="shared" si="36"/>
        <v>6.4071856287425177E-2</v>
      </c>
    </row>
    <row r="539" spans="2:8">
      <c r="B539" s="363">
        <v>38200</v>
      </c>
      <c r="C539" s="364">
        <v>68.128460686600206</v>
      </c>
      <c r="D539" s="365">
        <f t="shared" si="34"/>
        <v>1.4511873350923965</v>
      </c>
      <c r="E539" s="362">
        <f t="shared" si="35"/>
        <v>8.1575246132207235E-2</v>
      </c>
      <c r="F539" s="364">
        <v>76.924717423757741</v>
      </c>
      <c r="G539" s="365">
        <f t="shared" si="33"/>
        <v>1.491277433877336</v>
      </c>
      <c r="H539" s="380">
        <f t="shared" si="36"/>
        <v>8.2533013205282391E-2</v>
      </c>
    </row>
    <row r="540" spans="2:8">
      <c r="B540" s="363">
        <v>38231</v>
      </c>
      <c r="C540" s="364">
        <v>67.242524916943495</v>
      </c>
      <c r="D540" s="365">
        <f t="shared" si="34"/>
        <v>-1.3003901170351329</v>
      </c>
      <c r="E540" s="362">
        <f t="shared" si="35"/>
        <v>6.6011235955056202E-2</v>
      </c>
      <c r="F540" s="364">
        <v>75.901044998933671</v>
      </c>
      <c r="G540" s="365">
        <f t="shared" si="33"/>
        <v>-1.3307457721098093</v>
      </c>
      <c r="H540" s="380">
        <f t="shared" si="36"/>
        <v>6.6526820497452732E-2</v>
      </c>
    </row>
    <row r="541" spans="2:8">
      <c r="B541" s="363">
        <v>38261</v>
      </c>
      <c r="C541" s="364">
        <v>66.622369878183804</v>
      </c>
      <c r="D541" s="365">
        <f t="shared" si="34"/>
        <v>-0.92226613965744608</v>
      </c>
      <c r="E541" s="362">
        <f t="shared" si="35"/>
        <v>3.5812672176308347E-2</v>
      </c>
      <c r="F541" s="364">
        <v>75.239923224568145</v>
      </c>
      <c r="G541" s="365">
        <f t="shared" si="33"/>
        <v>-0.87103118853608663</v>
      </c>
      <c r="H541" s="380">
        <f t="shared" si="36"/>
        <v>3.5819142689371475E-2</v>
      </c>
    </row>
    <row r="542" spans="2:8">
      <c r="B542" s="363">
        <v>38292</v>
      </c>
      <c r="C542" s="364">
        <v>66.533776301218197</v>
      </c>
      <c r="D542" s="365">
        <f t="shared" si="34"/>
        <v>-0.13297872340416461</v>
      </c>
      <c r="E542" s="362">
        <f t="shared" si="35"/>
        <v>2.0380434782609536E-2</v>
      </c>
      <c r="F542" s="364">
        <v>75.133290680315639</v>
      </c>
      <c r="G542" s="365">
        <f t="shared" si="33"/>
        <v>-0.14172335600907138</v>
      </c>
      <c r="H542" s="380">
        <f t="shared" si="36"/>
        <v>2.0863517820921329E-2</v>
      </c>
    </row>
    <row r="543" spans="2:8">
      <c r="B543" s="363">
        <v>38322</v>
      </c>
      <c r="C543" s="364">
        <v>67.6854928017719</v>
      </c>
      <c r="D543" s="365">
        <f t="shared" si="34"/>
        <v>1.7310252996005193</v>
      </c>
      <c r="E543" s="362">
        <f t="shared" si="35"/>
        <v>2.8263795423957516E-2</v>
      </c>
      <c r="F543" s="364">
        <v>76.370228193644706</v>
      </c>
      <c r="G543" s="365">
        <f t="shared" si="33"/>
        <v>1.6463241555492392</v>
      </c>
      <c r="H543" s="380">
        <f t="shared" si="36"/>
        <v>2.8136663795578443E-2</v>
      </c>
    </row>
    <row r="544" spans="2:8">
      <c r="B544" s="363">
        <v>38353</v>
      </c>
      <c r="C544" s="364">
        <v>68.128460686600206</v>
      </c>
      <c r="D544" s="365">
        <f t="shared" si="34"/>
        <v>0.6544502617800374</v>
      </c>
      <c r="E544" s="362">
        <f t="shared" si="35"/>
        <v>3.2214765100671672E-2</v>
      </c>
      <c r="F544" s="364">
        <v>76.903390914907234</v>
      </c>
      <c r="G544" s="365">
        <f t="shared" si="33"/>
        <v>0.69812901424182172</v>
      </c>
      <c r="H544" s="380">
        <f t="shared" si="36"/>
        <v>3.2054951345163119E-2</v>
      </c>
    </row>
    <row r="545" spans="2:8">
      <c r="B545" s="363">
        <v>38384</v>
      </c>
      <c r="C545" s="364">
        <v>68.482834994462905</v>
      </c>
      <c r="D545" s="365">
        <f t="shared" si="34"/>
        <v>0.52015604681407979</v>
      </c>
      <c r="E545" s="362">
        <f t="shared" si="35"/>
        <v>3.6193029490616757E-2</v>
      </c>
      <c r="F545" s="364">
        <v>77.329921091917271</v>
      </c>
      <c r="G545" s="365">
        <f t="shared" si="33"/>
        <v>0.55463117027179099</v>
      </c>
      <c r="H545" s="380">
        <f t="shared" si="36"/>
        <v>3.6296084595599076E-2</v>
      </c>
    </row>
    <row r="546" spans="2:8">
      <c r="B546" s="363">
        <v>38412</v>
      </c>
      <c r="C546" s="364">
        <v>69.280177187153896</v>
      </c>
      <c r="D546" s="365">
        <f t="shared" si="34"/>
        <v>1.1642949547218118</v>
      </c>
      <c r="E546" s="362">
        <f t="shared" si="35"/>
        <v>4.2666666666665964E-2</v>
      </c>
      <c r="F546" s="364">
        <v>78.246960972488807</v>
      </c>
      <c r="G546" s="365">
        <f t="shared" si="33"/>
        <v>1.1858797573083057</v>
      </c>
      <c r="H546" s="380">
        <f t="shared" si="36"/>
        <v>4.3812233285917435E-2</v>
      </c>
    </row>
    <row r="547" spans="2:8">
      <c r="B547" s="363">
        <v>38443</v>
      </c>
      <c r="C547" s="364">
        <v>70.166112956810593</v>
      </c>
      <c r="D547" s="365">
        <f t="shared" si="34"/>
        <v>1.2787723785166127</v>
      </c>
      <c r="E547" s="362">
        <f t="shared" si="35"/>
        <v>5.8823529411764941E-2</v>
      </c>
      <c r="F547" s="364">
        <v>79.227980379611864</v>
      </c>
      <c r="G547" s="365">
        <f t="shared" si="33"/>
        <v>1.2537476151539995</v>
      </c>
      <c r="H547" s="380">
        <f t="shared" si="36"/>
        <v>5.8706184098033631E-2</v>
      </c>
    </row>
    <row r="548" spans="2:8">
      <c r="B548" s="363">
        <v>38473</v>
      </c>
      <c r="C548" s="364">
        <v>71.229235880398704</v>
      </c>
      <c r="D548" s="365">
        <f t="shared" si="34"/>
        <v>1.5151515151516248</v>
      </c>
      <c r="E548" s="362">
        <f t="shared" si="35"/>
        <v>7.2000000000000286E-2</v>
      </c>
      <c r="F548" s="364">
        <v>80.379611857538919</v>
      </c>
      <c r="G548" s="365">
        <f t="shared" si="33"/>
        <v>1.4535666218034926</v>
      </c>
      <c r="H548" s="380">
        <f t="shared" si="36"/>
        <v>7.1651976116007932E-2</v>
      </c>
    </row>
    <row r="549" spans="2:8">
      <c r="B549" s="363">
        <v>38504</v>
      </c>
      <c r="C549" s="364">
        <v>71.140642303432998</v>
      </c>
      <c r="D549" s="365">
        <f t="shared" si="34"/>
        <v>-0.12437810945278294</v>
      </c>
      <c r="E549" s="362">
        <f t="shared" si="35"/>
        <v>6.0766182298546578E-2</v>
      </c>
      <c r="F549" s="364">
        <v>80.272979313286413</v>
      </c>
      <c r="G549" s="365">
        <f t="shared" si="33"/>
        <v>-0.13266118333775667</v>
      </c>
      <c r="H549" s="380">
        <f t="shared" si="36"/>
        <v>6.0879368658399047E-2</v>
      </c>
    </row>
    <row r="550" spans="2:8">
      <c r="B550" s="363">
        <v>38534</v>
      </c>
      <c r="C550" s="364">
        <v>71.495016611295696</v>
      </c>
      <c r="D550" s="365">
        <f t="shared" si="34"/>
        <v>0.49813200498134425</v>
      </c>
      <c r="E550" s="362">
        <f t="shared" si="35"/>
        <v>6.4643799472296593E-2</v>
      </c>
      <c r="F550" s="364">
        <v>80.656856472595436</v>
      </c>
      <c r="G550" s="365">
        <f t="shared" si="33"/>
        <v>0.47821466524973211</v>
      </c>
      <c r="H550" s="380">
        <f t="shared" si="36"/>
        <v>6.4153066966798011E-2</v>
      </c>
    </row>
    <row r="551" spans="2:8">
      <c r="B551" s="363">
        <v>38565</v>
      </c>
      <c r="C551" s="364">
        <v>71.406423034330004</v>
      </c>
      <c r="D551" s="365">
        <f t="shared" si="34"/>
        <v>-0.12391573729866323</v>
      </c>
      <c r="E551" s="362">
        <f t="shared" si="35"/>
        <v>4.8114434330299272E-2</v>
      </c>
      <c r="F551" s="364">
        <v>80.55022392834293</v>
      </c>
      <c r="G551" s="365">
        <f t="shared" si="33"/>
        <v>-0.13220518244315693</v>
      </c>
      <c r="H551" s="380">
        <f t="shared" si="36"/>
        <v>4.7130579428888097E-2</v>
      </c>
    </row>
    <row r="552" spans="2:8">
      <c r="B552" s="363">
        <v>38596</v>
      </c>
      <c r="C552" s="364">
        <v>72.292358803986701</v>
      </c>
      <c r="D552" s="365">
        <f t="shared" si="34"/>
        <v>1.2406947890818865</v>
      </c>
      <c r="E552" s="362">
        <f t="shared" si="35"/>
        <v>7.5098814229249244E-2</v>
      </c>
      <c r="F552" s="364">
        <v>81.637875879718493</v>
      </c>
      <c r="G552" s="365">
        <f t="shared" si="33"/>
        <v>1.350277998411431</v>
      </c>
      <c r="H552" s="380">
        <f t="shared" si="36"/>
        <v>7.5583028940713781E-2</v>
      </c>
    </row>
    <row r="553" spans="2:8">
      <c r="B553" s="363">
        <v>38626</v>
      </c>
      <c r="C553" s="364">
        <v>73.532668881506098</v>
      </c>
      <c r="D553" s="365">
        <f t="shared" si="34"/>
        <v>1.71568627450982</v>
      </c>
      <c r="E553" s="362">
        <f t="shared" si="35"/>
        <v>0.10372340425531967</v>
      </c>
      <c r="F553" s="364">
        <v>82.960119428449573</v>
      </c>
      <c r="G553" s="365">
        <f t="shared" si="33"/>
        <v>1.6196447230930167</v>
      </c>
      <c r="H553" s="380">
        <f t="shared" si="36"/>
        <v>0.10260770975056688</v>
      </c>
    </row>
    <row r="554" spans="2:8">
      <c r="B554" s="363">
        <v>38657</v>
      </c>
      <c r="C554" s="364">
        <v>74.772978959025494</v>
      </c>
      <c r="D554" s="365">
        <f t="shared" si="34"/>
        <v>1.6867469879518371</v>
      </c>
      <c r="E554" s="362">
        <f t="shared" si="35"/>
        <v>0.12383488681757626</v>
      </c>
      <c r="F554" s="364">
        <v>84.388995521433145</v>
      </c>
      <c r="G554" s="365">
        <f t="shared" si="33"/>
        <v>1.7223650385604028</v>
      </c>
      <c r="H554" s="380">
        <f t="shared" si="36"/>
        <v>0.12319046267385736</v>
      </c>
    </row>
    <row r="555" spans="2:8">
      <c r="B555" s="363">
        <v>38687</v>
      </c>
      <c r="C555" s="364">
        <v>74.330011074197103</v>
      </c>
      <c r="D555" s="365">
        <f t="shared" si="34"/>
        <v>-0.59241706161142771</v>
      </c>
      <c r="E555" s="362">
        <f t="shared" si="35"/>
        <v>9.8167539267014936E-2</v>
      </c>
      <c r="F555" s="364">
        <v>83.898485817871617</v>
      </c>
      <c r="G555" s="365">
        <f t="shared" si="33"/>
        <v>-0.581248420520597</v>
      </c>
      <c r="H555" s="380">
        <f t="shared" si="36"/>
        <v>9.8575816810946515E-2</v>
      </c>
    </row>
    <row r="556" spans="2:8">
      <c r="B556" s="363">
        <v>38718</v>
      </c>
      <c r="C556" s="364">
        <v>75.393133997785199</v>
      </c>
      <c r="D556" s="365">
        <f t="shared" si="34"/>
        <v>1.4302741358761306</v>
      </c>
      <c r="E556" s="362">
        <f t="shared" si="35"/>
        <v>0.10663198959687992</v>
      </c>
      <c r="F556" s="364">
        <v>85.071443804649178</v>
      </c>
      <c r="G556" s="365">
        <f t="shared" si="33"/>
        <v>1.3980681240467696</v>
      </c>
      <c r="H556" s="380">
        <f t="shared" si="36"/>
        <v>0.10621186910704372</v>
      </c>
    </row>
    <row r="557" spans="2:8">
      <c r="B557" s="363">
        <v>38749</v>
      </c>
      <c r="C557" s="364">
        <v>76.190476190476204</v>
      </c>
      <c r="D557" s="365">
        <f t="shared" si="34"/>
        <v>1.0575793184488536</v>
      </c>
      <c r="E557" s="362">
        <f t="shared" si="35"/>
        <v>0.11254851228978024</v>
      </c>
      <c r="F557" s="364">
        <v>86.009810194071235</v>
      </c>
      <c r="G557" s="365">
        <f t="shared" si="33"/>
        <v>1.1030333416896632</v>
      </c>
      <c r="H557" s="380">
        <f t="shared" si="36"/>
        <v>0.11224489795918347</v>
      </c>
    </row>
    <row r="558" spans="2:8">
      <c r="B558" s="363">
        <v>38777</v>
      </c>
      <c r="C558" s="364">
        <v>77.342192691029894</v>
      </c>
      <c r="D558" s="365">
        <f t="shared" si="34"/>
        <v>1.5116279069767202</v>
      </c>
      <c r="E558" s="362">
        <f t="shared" si="35"/>
        <v>0.11636828644501329</v>
      </c>
      <c r="F558" s="364">
        <v>87.289400725101316</v>
      </c>
      <c r="G558" s="365">
        <f t="shared" si="33"/>
        <v>1.4877262583684825</v>
      </c>
      <c r="H558" s="380">
        <f t="shared" si="36"/>
        <v>0.11556282365767245</v>
      </c>
    </row>
    <row r="559" spans="2:8">
      <c r="B559" s="363">
        <v>38808</v>
      </c>
      <c r="C559" s="364">
        <v>77.696566998892607</v>
      </c>
      <c r="D559" s="365">
        <f t="shared" si="34"/>
        <v>0.45819014891184118</v>
      </c>
      <c r="E559" s="362">
        <f t="shared" si="35"/>
        <v>0.10732323232323338</v>
      </c>
      <c r="F559" s="364">
        <v>87.651951375559833</v>
      </c>
      <c r="G559" s="365">
        <f t="shared" si="33"/>
        <v>0.41534326899583807</v>
      </c>
      <c r="H559" s="380">
        <f t="shared" si="36"/>
        <v>0.10632570659488572</v>
      </c>
    </row>
    <row r="560" spans="2:8">
      <c r="B560" s="363">
        <v>38838</v>
      </c>
      <c r="C560" s="364">
        <v>77.4307862679956</v>
      </c>
      <c r="D560" s="365">
        <f t="shared" si="34"/>
        <v>-0.34207525655644</v>
      </c>
      <c r="E560" s="362">
        <f t="shared" si="35"/>
        <v>8.7064676616915415E-2</v>
      </c>
      <c r="F560" s="364">
        <v>87.396033269353822</v>
      </c>
      <c r="G560" s="365">
        <f t="shared" si="33"/>
        <v>-0.29197080291970545</v>
      </c>
      <c r="H560" s="380">
        <f t="shared" si="36"/>
        <v>8.7291058636243202E-2</v>
      </c>
    </row>
    <row r="561" spans="2:8">
      <c r="B561" s="363">
        <v>38869</v>
      </c>
      <c r="C561" s="364">
        <v>77.076411960132901</v>
      </c>
      <c r="D561" s="365">
        <f t="shared" si="34"/>
        <v>-0.45766590389018091</v>
      </c>
      <c r="E561" s="362">
        <f t="shared" si="35"/>
        <v>8.343711083437122E-2</v>
      </c>
      <c r="F561" s="364">
        <v>87.012156110044799</v>
      </c>
      <c r="G561" s="365">
        <f t="shared" si="33"/>
        <v>-0.43923865300146137</v>
      </c>
      <c r="H561" s="380">
        <f t="shared" si="36"/>
        <v>8.395324123273129E-2</v>
      </c>
    </row>
    <row r="562" spans="2:8">
      <c r="B562" s="363">
        <v>38899</v>
      </c>
      <c r="C562" s="364">
        <v>76.899224806201502</v>
      </c>
      <c r="D562" s="365">
        <f t="shared" si="34"/>
        <v>-0.22988505747134624</v>
      </c>
      <c r="E562" s="362">
        <f t="shared" si="35"/>
        <v>7.5588599752167696E-2</v>
      </c>
      <c r="F562" s="364">
        <v>86.841544039240787</v>
      </c>
      <c r="G562" s="365">
        <f t="shared" si="33"/>
        <v>-0.19607843137254832</v>
      </c>
      <c r="H562" s="380">
        <f t="shared" si="36"/>
        <v>7.6679005817028134E-2</v>
      </c>
    </row>
    <row r="563" spans="2:8">
      <c r="B563" s="363">
        <v>38930</v>
      </c>
      <c r="C563" s="364">
        <v>77.076411960132901</v>
      </c>
      <c r="D563" s="365">
        <f t="shared" si="34"/>
        <v>0.23041474654386107</v>
      </c>
      <c r="E563" s="362">
        <f t="shared" si="35"/>
        <v>7.9404466501241E-2</v>
      </c>
      <c r="F563" s="364">
        <v>87.012156110044799</v>
      </c>
      <c r="G563" s="365">
        <f t="shared" si="33"/>
        <v>0.19646365422396617</v>
      </c>
      <c r="H563" s="380">
        <f t="shared" si="36"/>
        <v>8.0222398729150379E-2</v>
      </c>
    </row>
    <row r="564" spans="2:8">
      <c r="B564" s="363">
        <v>38961</v>
      </c>
      <c r="C564" s="364">
        <v>78.316722037652298</v>
      </c>
      <c r="D564" s="365">
        <f t="shared" si="34"/>
        <v>1.6091954022988686</v>
      </c>
      <c r="E564" s="362">
        <f t="shared" si="35"/>
        <v>8.3333333333333925E-2</v>
      </c>
      <c r="F564" s="364">
        <v>88.441032203028371</v>
      </c>
      <c r="G564" s="365">
        <f t="shared" si="33"/>
        <v>1.6421568627450922</v>
      </c>
      <c r="H564" s="380">
        <f t="shared" si="36"/>
        <v>8.3333333333333481E-2</v>
      </c>
    </row>
    <row r="565" spans="2:8">
      <c r="B565" s="363">
        <v>38991</v>
      </c>
      <c r="C565" s="364">
        <v>79.911406423034293</v>
      </c>
      <c r="D565" s="365">
        <f t="shared" si="34"/>
        <v>2.0361990950225506</v>
      </c>
      <c r="E565" s="362">
        <f t="shared" si="35"/>
        <v>8.6746987951806576E-2</v>
      </c>
      <c r="F565" s="364">
        <v>90.189805928769459</v>
      </c>
      <c r="G565" s="365">
        <f t="shared" ref="G565:G628" si="37">+((F565/F564)-1)*100</f>
        <v>1.9773330118157517</v>
      </c>
      <c r="H565" s="380">
        <f t="shared" si="36"/>
        <v>8.7146529562981856E-2</v>
      </c>
    </row>
    <row r="566" spans="2:8">
      <c r="B566" s="363">
        <v>39022</v>
      </c>
      <c r="C566" s="364">
        <v>81.417497231450696</v>
      </c>
      <c r="D566" s="365">
        <f t="shared" si="34"/>
        <v>1.8847006651884879</v>
      </c>
      <c r="E566" s="362">
        <f t="shared" si="35"/>
        <v>8.8862559241705608E-2</v>
      </c>
      <c r="F566" s="364">
        <v>91.895926636809563</v>
      </c>
      <c r="G566" s="365">
        <f t="shared" si="37"/>
        <v>1.8917001655237797</v>
      </c>
      <c r="H566" s="380">
        <f t="shared" si="36"/>
        <v>8.895628001010869E-2</v>
      </c>
    </row>
    <row r="567" spans="2:8">
      <c r="B567" s="363">
        <v>39052</v>
      </c>
      <c r="C567" s="364">
        <v>83.632336655592496</v>
      </c>
      <c r="D567" s="365">
        <f t="shared" si="34"/>
        <v>2.7203482045702554</v>
      </c>
      <c r="E567" s="362">
        <f t="shared" si="35"/>
        <v>0.12514898688915443</v>
      </c>
      <c r="F567" s="364">
        <v>94.369801663467697</v>
      </c>
      <c r="G567" s="365">
        <f t="shared" si="37"/>
        <v>2.6920399164539255</v>
      </c>
      <c r="H567" s="380">
        <f t="shared" si="36"/>
        <v>0.12480935434672102</v>
      </c>
    </row>
    <row r="568" spans="2:8">
      <c r="B568" s="363">
        <v>39083</v>
      </c>
      <c r="C568" s="364">
        <v>82.746400885935799</v>
      </c>
      <c r="D568" s="365">
        <f t="shared" si="34"/>
        <v>-1.0593220338983023</v>
      </c>
      <c r="E568" s="362">
        <f t="shared" si="35"/>
        <v>9.7532314923619134E-2</v>
      </c>
      <c r="F568" s="364">
        <v>93.388782256344641</v>
      </c>
      <c r="G568" s="365">
        <f t="shared" si="37"/>
        <v>-1.0395480225988685</v>
      </c>
      <c r="H568" s="380">
        <f t="shared" si="36"/>
        <v>9.7768864377036913E-2</v>
      </c>
    </row>
    <row r="569" spans="2:8">
      <c r="B569" s="363">
        <v>39114</v>
      </c>
      <c r="C569" s="364">
        <v>82.480620155038807</v>
      </c>
      <c r="D569" s="365">
        <f t="shared" si="34"/>
        <v>-0.32119914346893097</v>
      </c>
      <c r="E569" s="362">
        <f t="shared" si="35"/>
        <v>8.2558139534884223E-2</v>
      </c>
      <c r="F569" s="364">
        <v>93.111537641288137</v>
      </c>
      <c r="G569" s="365">
        <f t="shared" si="37"/>
        <v>-0.29687143183373399</v>
      </c>
      <c r="H569" s="380">
        <f t="shared" si="36"/>
        <v>8.2568807339449712E-2</v>
      </c>
    </row>
    <row r="570" spans="2:8">
      <c r="B570" s="363">
        <v>39142</v>
      </c>
      <c r="C570" s="364">
        <v>81.683277962347702</v>
      </c>
      <c r="D570" s="365">
        <f t="shared" si="34"/>
        <v>-0.96670247046195534</v>
      </c>
      <c r="E570" s="362">
        <f t="shared" si="35"/>
        <v>5.6128293241695104E-2</v>
      </c>
      <c r="F570" s="364">
        <v>92.215824269567079</v>
      </c>
      <c r="G570" s="365">
        <f t="shared" si="37"/>
        <v>-0.96197892808063123</v>
      </c>
      <c r="H570" s="380">
        <f t="shared" si="36"/>
        <v>5.643782066943559E-2</v>
      </c>
    </row>
    <row r="571" spans="2:8">
      <c r="B571" s="363">
        <v>39173</v>
      </c>
      <c r="C571" s="364">
        <v>82.480620155038807</v>
      </c>
      <c r="D571" s="365">
        <f t="shared" si="34"/>
        <v>0.97613882863349932</v>
      </c>
      <c r="E571" s="362">
        <f t="shared" si="35"/>
        <v>6.1573546180159866E-2</v>
      </c>
      <c r="F571" s="364">
        <v>93.090211132437631</v>
      </c>
      <c r="G571" s="365">
        <f t="shared" si="37"/>
        <v>0.94819611470859932</v>
      </c>
      <c r="H571" s="380">
        <f t="shared" si="36"/>
        <v>6.2043795620438047E-2</v>
      </c>
    </row>
    <row r="572" spans="2:8">
      <c r="B572" s="363">
        <v>39203</v>
      </c>
      <c r="C572" s="364">
        <v>82.923588039867099</v>
      </c>
      <c r="D572" s="365">
        <f t="shared" si="34"/>
        <v>0.53705692803429628</v>
      </c>
      <c r="E572" s="362">
        <f t="shared" si="35"/>
        <v>7.0938215102974267E-2</v>
      </c>
      <c r="F572" s="364">
        <v>93.602047344849652</v>
      </c>
      <c r="G572" s="365">
        <f t="shared" si="37"/>
        <v>0.54982817869415612</v>
      </c>
      <c r="H572" s="380">
        <f t="shared" si="36"/>
        <v>7.1010248901903328E-2</v>
      </c>
    </row>
    <row r="573" spans="2:8">
      <c r="B573" s="363">
        <v>39234</v>
      </c>
      <c r="C573" s="364">
        <v>82.3920265780731</v>
      </c>
      <c r="D573" s="365">
        <f t="shared" si="34"/>
        <v>-0.64102564102561654</v>
      </c>
      <c r="E573" s="362">
        <f t="shared" si="35"/>
        <v>6.8965517241379226E-2</v>
      </c>
      <c r="F573" s="364">
        <v>92.962252079334618</v>
      </c>
      <c r="G573" s="365">
        <f t="shared" si="37"/>
        <v>-0.68352699931647498</v>
      </c>
      <c r="H573" s="380">
        <f t="shared" si="36"/>
        <v>6.838235294117645E-2</v>
      </c>
    </row>
    <row r="574" spans="2:8">
      <c r="B574" s="363">
        <v>39264</v>
      </c>
      <c r="C574" s="364">
        <v>82.657807308970106</v>
      </c>
      <c r="D574" s="365">
        <f t="shared" si="34"/>
        <v>0.3225806451612856</v>
      </c>
      <c r="E574" s="362">
        <f t="shared" si="35"/>
        <v>7.4884792626728869E-2</v>
      </c>
      <c r="F574" s="364">
        <v>93.346129238643641</v>
      </c>
      <c r="G574" s="365">
        <f t="shared" si="37"/>
        <v>0.41293874741914482</v>
      </c>
      <c r="H574" s="380">
        <f t="shared" si="36"/>
        <v>7.490176817288785E-2</v>
      </c>
    </row>
    <row r="575" spans="2:8">
      <c r="B575" s="363">
        <v>39295</v>
      </c>
      <c r="C575" s="364">
        <v>85.492801771871498</v>
      </c>
      <c r="D575" s="365">
        <f t="shared" si="34"/>
        <v>3.429796355841308</v>
      </c>
      <c r="E575" s="362">
        <f t="shared" si="35"/>
        <v>0.10919540229884994</v>
      </c>
      <c r="F575" s="364">
        <v>96.502452548517809</v>
      </c>
      <c r="G575" s="365">
        <f t="shared" si="37"/>
        <v>3.3813114005026179</v>
      </c>
      <c r="H575" s="380">
        <f t="shared" si="36"/>
        <v>0.10906862745098023</v>
      </c>
    </row>
    <row r="576" spans="2:8">
      <c r="B576" s="363">
        <v>39326</v>
      </c>
      <c r="C576" s="364">
        <v>86.290143964562603</v>
      </c>
      <c r="D576" s="365">
        <f t="shared" si="34"/>
        <v>0.93264248704671981</v>
      </c>
      <c r="E576" s="362">
        <f t="shared" si="35"/>
        <v>0.1018099547511313</v>
      </c>
      <c r="F576" s="364">
        <v>97.376839411388374</v>
      </c>
      <c r="G576" s="365">
        <f t="shared" si="37"/>
        <v>0.90607734806631424</v>
      </c>
      <c r="H576" s="380">
        <f t="shared" si="36"/>
        <v>0.10103689414034256</v>
      </c>
    </row>
    <row r="577" spans="2:8">
      <c r="B577" s="363">
        <v>39356</v>
      </c>
      <c r="C577" s="364">
        <v>89.479512735326693</v>
      </c>
      <c r="D577" s="365">
        <f t="shared" si="34"/>
        <v>3.6960985626282916</v>
      </c>
      <c r="E577" s="362">
        <f t="shared" si="35"/>
        <v>0.11973392461197396</v>
      </c>
      <c r="F577" s="364">
        <v>100.98101940712306</v>
      </c>
      <c r="G577" s="365">
        <f t="shared" si="37"/>
        <v>3.7012702584318768</v>
      </c>
      <c r="H577" s="380">
        <f t="shared" si="36"/>
        <v>0.11965003546937814</v>
      </c>
    </row>
    <row r="578" spans="2:8">
      <c r="B578" s="363">
        <v>39387</v>
      </c>
      <c r="C578" s="364">
        <v>87.441860465116307</v>
      </c>
      <c r="D578" s="365">
        <f t="shared" si="34"/>
        <v>-2.277227722772257</v>
      </c>
      <c r="E578" s="362">
        <f t="shared" si="35"/>
        <v>7.3993471164309765E-2</v>
      </c>
      <c r="F578" s="364">
        <v>98.720409468969933</v>
      </c>
      <c r="G578" s="365">
        <f t="shared" si="37"/>
        <v>-2.2386483632523713</v>
      </c>
      <c r="H578" s="380">
        <f t="shared" si="36"/>
        <v>7.4263170109073906E-2</v>
      </c>
    </row>
    <row r="579" spans="2:8">
      <c r="B579" s="363">
        <v>39417</v>
      </c>
      <c r="C579" s="364">
        <v>88.593576965669996</v>
      </c>
      <c r="D579" s="365">
        <f t="shared" si="34"/>
        <v>1.3171225937183229</v>
      </c>
      <c r="E579" s="362">
        <f t="shared" si="35"/>
        <v>5.9322033898304927E-2</v>
      </c>
      <c r="F579" s="364">
        <v>100</v>
      </c>
      <c r="G579" s="365">
        <f t="shared" si="37"/>
        <v>1.2961762799740706</v>
      </c>
      <c r="H579" s="380">
        <f t="shared" si="36"/>
        <v>5.966101694915249E-2</v>
      </c>
    </row>
    <row r="580" spans="2:8">
      <c r="B580" s="363">
        <v>39448</v>
      </c>
      <c r="C580" s="364">
        <v>90.011074197120706</v>
      </c>
      <c r="D580" s="365">
        <f t="shared" si="34"/>
        <v>1.5999999999999792</v>
      </c>
      <c r="E580" s="362">
        <f t="shared" si="35"/>
        <v>8.7794432548179424E-2</v>
      </c>
      <c r="F580" s="364">
        <v>101.6</v>
      </c>
      <c r="G580" s="365">
        <f t="shared" si="37"/>
        <v>1.6000000000000014</v>
      </c>
      <c r="H580" s="380">
        <f t="shared" si="36"/>
        <v>8.7925097054121881E-2</v>
      </c>
    </row>
    <row r="581" spans="2:8">
      <c r="B581" s="363">
        <v>39479</v>
      </c>
      <c r="C581" s="364">
        <v>91.162790697674396</v>
      </c>
      <c r="D581" s="365">
        <f t="shared" ref="D581:D644" si="38">+((C581/C580)-1)*100</f>
        <v>1.2795275590550936</v>
      </c>
      <c r="E581" s="362">
        <f t="shared" si="35"/>
        <v>0.10526315789473584</v>
      </c>
      <c r="F581" s="364">
        <v>102.9</v>
      </c>
      <c r="G581" s="365">
        <f t="shared" si="37"/>
        <v>1.279527559055138</v>
      </c>
      <c r="H581" s="380">
        <f t="shared" si="36"/>
        <v>0.10512620247365989</v>
      </c>
    </row>
    <row r="582" spans="2:8">
      <c r="B582" s="363">
        <v>39508</v>
      </c>
      <c r="C582" s="364">
        <v>91.782945736434101</v>
      </c>
      <c r="D582" s="365">
        <f t="shared" si="38"/>
        <v>0.68027210884356037</v>
      </c>
      <c r="E582" s="362">
        <f t="shared" si="35"/>
        <v>0.12364425162689829</v>
      </c>
      <c r="F582" s="364">
        <v>103.6</v>
      </c>
      <c r="G582" s="365">
        <f t="shared" si="37"/>
        <v>0.68027210884351597</v>
      </c>
      <c r="H582" s="380">
        <f t="shared" si="36"/>
        <v>0.12345143385753921</v>
      </c>
    </row>
    <row r="583" spans="2:8">
      <c r="B583" s="363">
        <v>39539</v>
      </c>
      <c r="C583" s="364">
        <v>92.491694352159499</v>
      </c>
      <c r="D583" s="365">
        <f t="shared" si="38"/>
        <v>0.77220077220081507</v>
      </c>
      <c r="E583" s="362">
        <f t="shared" si="35"/>
        <v>0.12137486573576761</v>
      </c>
      <c r="F583" s="364">
        <v>104.4</v>
      </c>
      <c r="G583" s="365">
        <f t="shared" si="37"/>
        <v>0.77220077220079286</v>
      </c>
      <c r="H583" s="380">
        <f t="shared" si="36"/>
        <v>0.12149278350515447</v>
      </c>
    </row>
    <row r="584" spans="2:8">
      <c r="B584" s="363">
        <v>39569</v>
      </c>
      <c r="C584" s="364">
        <v>92.3145071982281</v>
      </c>
      <c r="D584" s="365">
        <f t="shared" si="38"/>
        <v>-0.19157088122612187</v>
      </c>
      <c r="E584" s="362">
        <f t="shared" si="35"/>
        <v>0.11324786324786307</v>
      </c>
      <c r="F584" s="364">
        <v>104.2</v>
      </c>
      <c r="G584" s="365">
        <f t="shared" si="37"/>
        <v>-0.19157088122605526</v>
      </c>
      <c r="H584" s="380">
        <f t="shared" si="36"/>
        <v>0.11322351332877645</v>
      </c>
    </row>
    <row r="585" spans="2:8">
      <c r="B585" s="363">
        <v>39600</v>
      </c>
      <c r="C585" s="364">
        <v>93.377630121816196</v>
      </c>
      <c r="D585" s="365">
        <f t="shared" si="38"/>
        <v>1.1516314779271175</v>
      </c>
      <c r="E585" s="362">
        <f t="shared" si="35"/>
        <v>0.13333333333333353</v>
      </c>
      <c r="F585" s="364">
        <v>105.4</v>
      </c>
      <c r="G585" s="365">
        <f t="shared" si="37"/>
        <v>1.1516314779270731</v>
      </c>
      <c r="H585" s="380">
        <f t="shared" si="36"/>
        <v>0.13379353062629051</v>
      </c>
    </row>
    <row r="586" spans="2:8">
      <c r="B586" s="363">
        <v>39630</v>
      </c>
      <c r="C586" s="364">
        <v>93.820598006644502</v>
      </c>
      <c r="D586" s="365">
        <f t="shared" si="38"/>
        <v>0.47438330170772591</v>
      </c>
      <c r="E586" s="362">
        <f t="shared" si="35"/>
        <v>0.13504823151125378</v>
      </c>
      <c r="F586" s="364">
        <v>105.9</v>
      </c>
      <c r="G586" s="365">
        <f t="shared" si="37"/>
        <v>0.47438330170777032</v>
      </c>
      <c r="H586" s="380">
        <f t="shared" si="36"/>
        <v>0.13448732008224806</v>
      </c>
    </row>
    <row r="587" spans="2:8">
      <c r="B587" s="363">
        <v>39661</v>
      </c>
      <c r="C587" s="364">
        <v>94.352159468438501</v>
      </c>
      <c r="D587" s="365">
        <f t="shared" si="38"/>
        <v>0.56657223796032774</v>
      </c>
      <c r="E587" s="362">
        <f t="shared" si="35"/>
        <v>0.10362694300518149</v>
      </c>
      <c r="F587" s="364">
        <v>106.5</v>
      </c>
      <c r="G587" s="365">
        <f t="shared" si="37"/>
        <v>0.56657223796032774</v>
      </c>
      <c r="H587" s="380">
        <f t="shared" si="36"/>
        <v>0.10359889502762432</v>
      </c>
    </row>
    <row r="588" spans="2:8">
      <c r="B588" s="363">
        <v>39692</v>
      </c>
      <c r="C588" s="364">
        <v>94.086378737541494</v>
      </c>
      <c r="D588" s="365">
        <f t="shared" si="38"/>
        <v>-0.28169014084507005</v>
      </c>
      <c r="E588" s="362">
        <f t="shared" si="35"/>
        <v>9.0349075975358462E-2</v>
      </c>
      <c r="F588" s="364">
        <v>106.2</v>
      </c>
      <c r="G588" s="365">
        <f t="shared" si="37"/>
        <v>-0.28169014084507005</v>
      </c>
      <c r="H588" s="380">
        <f t="shared" si="36"/>
        <v>9.0608409986859151E-2</v>
      </c>
    </row>
    <row r="589" spans="2:8">
      <c r="B589" s="363">
        <v>39722</v>
      </c>
      <c r="C589" s="364">
        <v>94.352159468438501</v>
      </c>
      <c r="D589" s="365">
        <f t="shared" si="38"/>
        <v>0.28248587570620654</v>
      </c>
      <c r="E589" s="362">
        <f t="shared" si="35"/>
        <v>5.445544554455406E-2</v>
      </c>
      <c r="F589" s="364">
        <v>106.5</v>
      </c>
      <c r="G589" s="365">
        <f t="shared" si="37"/>
        <v>0.28248587570620654</v>
      </c>
      <c r="H589" s="380">
        <f t="shared" si="36"/>
        <v>5.4653643083421244E-2</v>
      </c>
    </row>
    <row r="590" spans="2:8">
      <c r="B590" s="363">
        <v>39753</v>
      </c>
      <c r="C590" s="366">
        <v>94.7065337763012</v>
      </c>
      <c r="D590" s="367">
        <f t="shared" si="38"/>
        <v>0.3755868544601082</v>
      </c>
      <c r="E590" s="362">
        <f t="shared" si="35"/>
        <v>8.3080040526848586E-2</v>
      </c>
      <c r="F590" s="366">
        <v>106.9</v>
      </c>
      <c r="G590" s="367">
        <f t="shared" si="37"/>
        <v>0.3755868544601082</v>
      </c>
      <c r="H590" s="380">
        <f t="shared" si="36"/>
        <v>8.2856124432922895E-2</v>
      </c>
    </row>
    <row r="591" spans="2:8">
      <c r="B591" s="363">
        <v>39783</v>
      </c>
      <c r="C591" s="366">
        <v>95.238095238095198</v>
      </c>
      <c r="D591" s="367">
        <f t="shared" si="38"/>
        <v>0.56127221702524377</v>
      </c>
      <c r="E591" s="362">
        <f t="shared" si="35"/>
        <v>7.4999999999999512E-2</v>
      </c>
      <c r="F591" s="366">
        <v>107.5</v>
      </c>
      <c r="G591" s="367">
        <f t="shared" si="37"/>
        <v>0.56127221702524377</v>
      </c>
      <c r="H591" s="380">
        <f t="shared" si="36"/>
        <v>7.4999999999999956E-2</v>
      </c>
    </row>
    <row r="592" spans="2:8">
      <c r="B592" s="363">
        <v>39814</v>
      </c>
      <c r="C592" s="366">
        <v>95.326688815060905</v>
      </c>
      <c r="D592" s="367">
        <f t="shared" si="38"/>
        <v>9.3023255813995398E-2</v>
      </c>
      <c r="E592" s="362">
        <f t="shared" si="35"/>
        <v>5.9055118110236116E-2</v>
      </c>
      <c r="F592" s="366">
        <v>107.6</v>
      </c>
      <c r="G592" s="367">
        <f t="shared" si="37"/>
        <v>9.3023255813950989E-2</v>
      </c>
      <c r="H592" s="380">
        <f t="shared" si="36"/>
        <v>5.9055118110236116E-2</v>
      </c>
    </row>
    <row r="593" spans="2:8">
      <c r="B593" s="363">
        <v>39845</v>
      </c>
      <c r="C593" s="366">
        <v>95.060908084163898</v>
      </c>
      <c r="D593" s="367">
        <f t="shared" si="38"/>
        <v>-0.27881040892192566</v>
      </c>
      <c r="E593" s="362">
        <f t="shared" ref="E593:E656" si="39">+(C593/C581)-1</f>
        <v>4.2759961127308399E-2</v>
      </c>
      <c r="F593" s="366">
        <v>107.3</v>
      </c>
      <c r="G593" s="367">
        <f t="shared" si="37"/>
        <v>-0.27881040892192566</v>
      </c>
      <c r="H593" s="380">
        <f t="shared" ref="H593:H656" si="40">+(F593/F581)-1</f>
        <v>4.2759961127307955E-2</v>
      </c>
    </row>
    <row r="594" spans="2:8">
      <c r="B594" s="363">
        <v>39873</v>
      </c>
      <c r="C594" s="366">
        <v>94.883720930232599</v>
      </c>
      <c r="D594" s="367">
        <f t="shared" si="38"/>
        <v>-0.18639328984152437</v>
      </c>
      <c r="E594" s="362">
        <f t="shared" si="39"/>
        <v>3.3783783783784216E-2</v>
      </c>
      <c r="F594" s="366">
        <v>107.1</v>
      </c>
      <c r="G594" s="367">
        <f t="shared" si="37"/>
        <v>-0.18639328984156878</v>
      </c>
      <c r="H594" s="380">
        <f t="shared" si="40"/>
        <v>3.3783783783783772E-2</v>
      </c>
    </row>
    <row r="595" spans="2:8">
      <c r="B595" s="363">
        <v>39904</v>
      </c>
      <c r="C595" s="366">
        <v>94.352159468438501</v>
      </c>
      <c r="D595" s="367">
        <f t="shared" si="38"/>
        <v>-0.56022408963594117</v>
      </c>
      <c r="E595" s="362">
        <f t="shared" si="39"/>
        <v>2.0114942528734803E-2</v>
      </c>
      <c r="F595" s="366">
        <v>106.5</v>
      </c>
      <c r="G595" s="367">
        <f t="shared" si="37"/>
        <v>-0.56022408963585235</v>
      </c>
      <c r="H595" s="380">
        <f t="shared" si="40"/>
        <v>2.0114942528735469E-2</v>
      </c>
    </row>
    <row r="596" spans="2:8">
      <c r="B596" s="363">
        <v>39934</v>
      </c>
      <c r="C596" s="366">
        <v>94.352159468438501</v>
      </c>
      <c r="D596" s="367">
        <f t="shared" si="38"/>
        <v>0</v>
      </c>
      <c r="E596" s="362">
        <f t="shared" si="39"/>
        <v>2.207293666026855E-2</v>
      </c>
      <c r="F596" s="366">
        <v>106.5</v>
      </c>
      <c r="G596" s="367">
        <f t="shared" si="37"/>
        <v>0</v>
      </c>
      <c r="H596" s="380">
        <f t="shared" si="40"/>
        <v>2.2072936660268772E-2</v>
      </c>
    </row>
    <row r="597" spans="2:8">
      <c r="B597" s="363">
        <v>39965</v>
      </c>
      <c r="C597" s="366">
        <v>95.149501661129605</v>
      </c>
      <c r="D597" s="367">
        <f t="shared" si="38"/>
        <v>0.84507042253529896</v>
      </c>
      <c r="E597" s="362">
        <f t="shared" si="39"/>
        <v>1.8975332068311257E-2</v>
      </c>
      <c r="F597" s="366">
        <v>107.4</v>
      </c>
      <c r="G597" s="367">
        <f t="shared" si="37"/>
        <v>0.84507042253521014</v>
      </c>
      <c r="H597" s="380">
        <f t="shared" si="40"/>
        <v>1.8975332068311257E-2</v>
      </c>
    </row>
    <row r="598" spans="2:8">
      <c r="B598" s="363">
        <v>39995</v>
      </c>
      <c r="C598" s="366">
        <v>94.883720930232599</v>
      </c>
      <c r="D598" s="367">
        <f t="shared" si="38"/>
        <v>-0.27932960893853886</v>
      </c>
      <c r="E598" s="362">
        <f t="shared" si="39"/>
        <v>1.1331444759207443E-2</v>
      </c>
      <c r="F598" s="366">
        <v>107.1</v>
      </c>
      <c r="G598" s="367">
        <f t="shared" si="37"/>
        <v>-0.27932960893856107</v>
      </c>
      <c r="H598" s="380">
        <f t="shared" si="40"/>
        <v>1.1331444759206777E-2</v>
      </c>
    </row>
    <row r="599" spans="2:8">
      <c r="B599" s="363">
        <v>40026</v>
      </c>
      <c r="C599" s="366">
        <v>95.858250276854903</v>
      </c>
      <c r="D599" s="367">
        <f t="shared" si="38"/>
        <v>1.0270774976656627</v>
      </c>
      <c r="E599" s="362">
        <f t="shared" si="39"/>
        <v>1.5962441314554043E-2</v>
      </c>
      <c r="F599" s="366">
        <v>108.2</v>
      </c>
      <c r="G599" s="367">
        <f t="shared" si="37"/>
        <v>1.0270774976657515</v>
      </c>
      <c r="H599" s="380">
        <f t="shared" si="40"/>
        <v>1.5962441314554043E-2</v>
      </c>
    </row>
    <row r="600" spans="2:8">
      <c r="B600" s="363">
        <v>40057</v>
      </c>
      <c r="C600" s="366">
        <v>96.212624584717602</v>
      </c>
      <c r="D600" s="367">
        <f t="shared" si="38"/>
        <v>0.36968576709799361</v>
      </c>
      <c r="E600" s="362">
        <f t="shared" si="39"/>
        <v>2.2598870056497411E-2</v>
      </c>
      <c r="F600" s="366">
        <v>108.6</v>
      </c>
      <c r="G600" s="367">
        <f t="shared" si="37"/>
        <v>0.3696857670979492</v>
      </c>
      <c r="H600" s="380">
        <f t="shared" si="40"/>
        <v>2.2598870056497189E-2</v>
      </c>
    </row>
    <row r="601" spans="2:8">
      <c r="B601" s="363">
        <v>40087</v>
      </c>
      <c r="C601" s="366">
        <v>97.009966777408593</v>
      </c>
      <c r="D601" s="367">
        <f t="shared" si="38"/>
        <v>0.82872928176791483</v>
      </c>
      <c r="E601" s="362">
        <f t="shared" si="39"/>
        <v>2.8169014084507005E-2</v>
      </c>
      <c r="F601" s="366">
        <v>109.5</v>
      </c>
      <c r="G601" s="367">
        <f t="shared" si="37"/>
        <v>0.82872928176795924</v>
      </c>
      <c r="H601" s="380">
        <f t="shared" si="40"/>
        <v>2.8169014084507005E-2</v>
      </c>
    </row>
    <row r="602" spans="2:8">
      <c r="B602" s="363">
        <v>40118</v>
      </c>
      <c r="C602" s="366">
        <v>96.566998892580301</v>
      </c>
      <c r="D602" s="367">
        <f t="shared" si="38"/>
        <v>-0.45662100456614896</v>
      </c>
      <c r="E602" s="362">
        <f t="shared" si="39"/>
        <v>1.9644527595884309E-2</v>
      </c>
      <c r="F602" s="366">
        <v>109</v>
      </c>
      <c r="G602" s="367">
        <f t="shared" si="37"/>
        <v>-0.45662100456621557</v>
      </c>
      <c r="H602" s="380">
        <f t="shared" si="40"/>
        <v>1.9644527595883865E-2</v>
      </c>
    </row>
    <row r="603" spans="2:8">
      <c r="B603" s="363">
        <v>40148</v>
      </c>
      <c r="C603" s="366">
        <v>97.009966777408593</v>
      </c>
      <c r="D603" s="367">
        <f t="shared" si="38"/>
        <v>0.45871559633021697</v>
      </c>
      <c r="E603" s="362">
        <f t="shared" si="39"/>
        <v>1.8604651162790642E-2</v>
      </c>
      <c r="F603" s="366">
        <v>109.5</v>
      </c>
      <c r="G603" s="367">
        <f t="shared" si="37"/>
        <v>0.45871559633028358</v>
      </c>
      <c r="H603" s="380">
        <f t="shared" si="40"/>
        <v>1.8604651162790642E-2</v>
      </c>
    </row>
    <row r="604" spans="2:8">
      <c r="B604" s="363">
        <v>40179</v>
      </c>
      <c r="C604" s="366">
        <v>97.984496124030997</v>
      </c>
      <c r="D604" s="367">
        <f t="shared" si="38"/>
        <v>1.0045662100456987</v>
      </c>
      <c r="E604" s="362">
        <f t="shared" si="39"/>
        <v>2.7881040892193232E-2</v>
      </c>
      <c r="F604" s="366">
        <v>110.6</v>
      </c>
      <c r="G604" s="367">
        <f t="shared" si="37"/>
        <v>1.0045662100456543</v>
      </c>
      <c r="H604" s="380">
        <f t="shared" si="40"/>
        <v>2.7881040892193232E-2</v>
      </c>
    </row>
    <row r="605" spans="2:8">
      <c r="B605" s="363">
        <v>40210</v>
      </c>
      <c r="C605" s="366">
        <v>97.895902547065305</v>
      </c>
      <c r="D605" s="367">
        <f t="shared" si="38"/>
        <v>-9.04159132007476E-2</v>
      </c>
      <c r="E605" s="362">
        <f t="shared" si="39"/>
        <v>2.9822926374650116E-2</v>
      </c>
      <c r="F605" s="366">
        <v>110.5</v>
      </c>
      <c r="G605" s="367">
        <f t="shared" si="37"/>
        <v>-9.0415913200714293E-2</v>
      </c>
      <c r="H605" s="380">
        <f t="shared" si="40"/>
        <v>2.982292637465056E-2</v>
      </c>
    </row>
    <row r="606" spans="2:8">
      <c r="B606" s="363">
        <v>40238</v>
      </c>
      <c r="C606" s="366">
        <v>98.781838316722002</v>
      </c>
      <c r="D606" s="367">
        <f t="shared" si="38"/>
        <v>0.90497737556560764</v>
      </c>
      <c r="E606" s="362">
        <f t="shared" si="39"/>
        <v>4.1083099906628506E-2</v>
      </c>
      <c r="F606" s="366">
        <v>111.5</v>
      </c>
      <c r="G606" s="367">
        <f t="shared" si="37"/>
        <v>0.90497737556560764</v>
      </c>
      <c r="H606" s="380">
        <f t="shared" si="40"/>
        <v>4.1083099906629394E-2</v>
      </c>
    </row>
    <row r="607" spans="2:8">
      <c r="B607" s="363">
        <v>40269</v>
      </c>
      <c r="C607" s="366">
        <v>99.579180509413106</v>
      </c>
      <c r="D607" s="367">
        <f t="shared" si="38"/>
        <v>0.80717488789245895</v>
      </c>
      <c r="E607" s="362">
        <f t="shared" si="39"/>
        <v>5.5399061032864738E-2</v>
      </c>
      <c r="F607" s="366">
        <v>112.4</v>
      </c>
      <c r="G607" s="367">
        <f t="shared" si="37"/>
        <v>0.80717488789239233</v>
      </c>
      <c r="H607" s="380">
        <f t="shared" si="40"/>
        <v>5.539906103286385E-2</v>
      </c>
    </row>
    <row r="608" spans="2:8">
      <c r="B608" s="363">
        <v>40299</v>
      </c>
      <c r="C608" s="366">
        <v>98.604651162790702</v>
      </c>
      <c r="D608" s="367">
        <f t="shared" si="38"/>
        <v>-0.9786476868327787</v>
      </c>
      <c r="E608" s="362">
        <f t="shared" si="39"/>
        <v>4.5070422535211652E-2</v>
      </c>
      <c r="F608" s="366">
        <v>111.3</v>
      </c>
      <c r="G608" s="367">
        <f t="shared" si="37"/>
        <v>-0.97864768683274539</v>
      </c>
      <c r="H608" s="380">
        <f t="shared" si="40"/>
        <v>4.5070422535211208E-2</v>
      </c>
    </row>
    <row r="609" spans="2:8">
      <c r="B609" s="363">
        <v>40330</v>
      </c>
      <c r="C609" s="366">
        <v>99.224806201550393</v>
      </c>
      <c r="D609" s="367">
        <f t="shared" si="38"/>
        <v>0.62893081761006275</v>
      </c>
      <c r="E609" s="362">
        <f t="shared" si="39"/>
        <v>4.2830540037243514E-2</v>
      </c>
      <c r="F609" s="366">
        <v>112</v>
      </c>
      <c r="G609" s="367">
        <f t="shared" si="37"/>
        <v>0.62893081761006275</v>
      </c>
      <c r="H609" s="380">
        <f t="shared" si="40"/>
        <v>4.2830540037243958E-2</v>
      </c>
    </row>
    <row r="610" spans="2:8">
      <c r="B610" s="363">
        <v>40360</v>
      </c>
      <c r="C610" s="368">
        <v>99.3133997785161</v>
      </c>
      <c r="D610" s="367">
        <f t="shared" si="38"/>
        <v>8.9285714285747275E-2</v>
      </c>
      <c r="E610" s="362">
        <f t="shared" si="39"/>
        <v>4.6685340802987918E-2</v>
      </c>
      <c r="F610" s="366">
        <v>112.1</v>
      </c>
      <c r="G610" s="367">
        <f t="shared" si="37"/>
        <v>8.9285714285702866E-2</v>
      </c>
      <c r="H610" s="380">
        <f t="shared" si="40"/>
        <v>4.6685340802987918E-2</v>
      </c>
    </row>
    <row r="611" spans="2:8">
      <c r="B611" s="363">
        <v>40391</v>
      </c>
      <c r="C611" s="366">
        <v>100.199335548173</v>
      </c>
      <c r="D611" s="367">
        <f t="shared" si="38"/>
        <v>0.89206066012508245</v>
      </c>
      <c r="E611" s="362">
        <f t="shared" si="39"/>
        <v>4.5286506469503607E-2</v>
      </c>
      <c r="F611" s="366">
        <v>113.1</v>
      </c>
      <c r="G611" s="367">
        <f t="shared" si="37"/>
        <v>0.89206066012488261</v>
      </c>
      <c r="H611" s="380">
        <f t="shared" si="40"/>
        <v>4.5286506469500942E-2</v>
      </c>
    </row>
    <row r="612" spans="2:8">
      <c r="B612" s="363">
        <v>40422</v>
      </c>
      <c r="C612" s="366">
        <v>99.844961240310099</v>
      </c>
      <c r="D612" s="367">
        <f t="shared" si="38"/>
        <v>-0.35366931918677791</v>
      </c>
      <c r="E612" s="362">
        <f t="shared" si="39"/>
        <v>3.7753222836095945E-2</v>
      </c>
      <c r="F612" s="366">
        <v>112.7</v>
      </c>
      <c r="G612" s="367">
        <f t="shared" si="37"/>
        <v>-0.35366931918655586</v>
      </c>
      <c r="H612" s="380">
        <f t="shared" si="40"/>
        <v>3.7753222836095945E-2</v>
      </c>
    </row>
    <row r="613" spans="2:8">
      <c r="B613" s="363">
        <v>40452</v>
      </c>
      <c r="C613" s="366">
        <v>102.059800664452</v>
      </c>
      <c r="D613" s="367">
        <f t="shared" si="38"/>
        <v>2.2182786157942891</v>
      </c>
      <c r="E613" s="362">
        <f t="shared" si="39"/>
        <v>5.2054794520550285E-2</v>
      </c>
      <c r="F613" s="366">
        <v>115.2</v>
      </c>
      <c r="G613" s="367">
        <f t="shared" si="37"/>
        <v>2.2182786157941337</v>
      </c>
      <c r="H613" s="380">
        <f t="shared" si="40"/>
        <v>5.2054794520548064E-2</v>
      </c>
    </row>
    <row r="614" spans="2:8">
      <c r="B614" s="363">
        <v>40483</v>
      </c>
      <c r="C614" s="366">
        <v>102.50276854928001</v>
      </c>
      <c r="D614" s="367">
        <f t="shared" si="38"/>
        <v>0.43402777777743484</v>
      </c>
      <c r="E614" s="362">
        <f t="shared" si="39"/>
        <v>6.1467889908255025E-2</v>
      </c>
      <c r="F614" s="366">
        <v>115.7</v>
      </c>
      <c r="G614" s="367">
        <f t="shared" si="37"/>
        <v>0.43402777777776791</v>
      </c>
      <c r="H614" s="380">
        <f t="shared" si="40"/>
        <v>6.1467889908256801E-2</v>
      </c>
    </row>
    <row r="615" spans="2:8">
      <c r="B615" s="363">
        <v>40513</v>
      </c>
      <c r="C615" s="366">
        <v>104.00885935769701</v>
      </c>
      <c r="D615" s="367">
        <f t="shared" si="38"/>
        <v>1.4693171996548848</v>
      </c>
      <c r="E615" s="362">
        <f t="shared" si="39"/>
        <v>7.2146118721466257E-2</v>
      </c>
      <c r="F615" s="366">
        <v>117.4</v>
      </c>
      <c r="G615" s="367">
        <f t="shared" si="37"/>
        <v>1.4693171996542853</v>
      </c>
      <c r="H615" s="380">
        <f t="shared" si="40"/>
        <v>7.214611872146115E-2</v>
      </c>
    </row>
    <row r="616" spans="2:8">
      <c r="B616" s="363">
        <v>40544</v>
      </c>
      <c r="C616" s="366">
        <v>105.603543743079</v>
      </c>
      <c r="D616" s="367">
        <f t="shared" si="38"/>
        <v>1.5332197614990717</v>
      </c>
      <c r="E616" s="362">
        <f t="shared" si="39"/>
        <v>7.775768535262606E-2</v>
      </c>
      <c r="F616" s="366">
        <v>119.2</v>
      </c>
      <c r="G616" s="367">
        <f t="shared" si="37"/>
        <v>1.5332197614991383</v>
      </c>
      <c r="H616" s="380">
        <f t="shared" si="40"/>
        <v>7.7757685352622063E-2</v>
      </c>
    </row>
    <row r="617" spans="2:8">
      <c r="B617" s="363">
        <v>40575</v>
      </c>
      <c r="C617" s="366">
        <v>107.198228128461</v>
      </c>
      <c r="D617" s="367">
        <f t="shared" si="38"/>
        <v>1.5100671140938937</v>
      </c>
      <c r="E617" s="362">
        <f t="shared" si="39"/>
        <v>9.5022624434392577E-2</v>
      </c>
      <c r="F617" s="366">
        <v>121</v>
      </c>
      <c r="G617" s="367">
        <f t="shared" si="37"/>
        <v>1.5100671140939603</v>
      </c>
      <c r="H617" s="380">
        <f t="shared" si="40"/>
        <v>9.5022624434389247E-2</v>
      </c>
    </row>
    <row r="618" spans="2:8">
      <c r="B618" s="363">
        <v>40603</v>
      </c>
      <c r="C618" s="366">
        <v>108.97009966777399</v>
      </c>
      <c r="D618" s="367">
        <f t="shared" si="38"/>
        <v>1.6528925619830881</v>
      </c>
      <c r="E618" s="362">
        <f t="shared" si="39"/>
        <v>0.10313901345291421</v>
      </c>
      <c r="F618" s="366">
        <v>123</v>
      </c>
      <c r="G618" s="367">
        <f t="shared" si="37"/>
        <v>1.6528925619834656</v>
      </c>
      <c r="H618" s="380">
        <f t="shared" si="40"/>
        <v>0.10313901345291487</v>
      </c>
    </row>
    <row r="619" spans="2:8">
      <c r="B619" s="363">
        <v>40634</v>
      </c>
      <c r="C619" s="366">
        <v>108.615725359911</v>
      </c>
      <c r="D619" s="367">
        <f t="shared" si="38"/>
        <v>-0.32520325203281297</v>
      </c>
      <c r="E619" s="362">
        <f t="shared" si="39"/>
        <v>9.0747330960849526E-2</v>
      </c>
      <c r="F619" s="366">
        <v>122.6</v>
      </c>
      <c r="G619" s="367">
        <f t="shared" si="37"/>
        <v>-0.32520325203252431</v>
      </c>
      <c r="H619" s="380">
        <f t="shared" si="40"/>
        <v>9.0747330960853967E-2</v>
      </c>
    </row>
    <row r="620" spans="2:8">
      <c r="B620" s="363">
        <v>40664</v>
      </c>
      <c r="C620" s="366">
        <v>108.615725359911</v>
      </c>
      <c r="D620" s="367">
        <f t="shared" si="38"/>
        <v>0</v>
      </c>
      <c r="E620" s="362">
        <f t="shared" si="39"/>
        <v>0.10152740341419175</v>
      </c>
      <c r="F620" s="366">
        <v>122.6</v>
      </c>
      <c r="G620" s="367">
        <f t="shared" si="37"/>
        <v>0</v>
      </c>
      <c r="H620" s="380">
        <f t="shared" si="40"/>
        <v>0.10152740341419575</v>
      </c>
    </row>
    <row r="621" spans="2:8">
      <c r="B621" s="363">
        <v>40695</v>
      </c>
      <c r="C621" s="366">
        <v>107.995570321152</v>
      </c>
      <c r="D621" s="367">
        <f t="shared" si="38"/>
        <v>-0.57096247960783941</v>
      </c>
      <c r="E621" s="362">
        <f t="shared" si="39"/>
        <v>8.8392857142860048E-2</v>
      </c>
      <c r="F621" s="366">
        <v>121.9</v>
      </c>
      <c r="G621" s="367">
        <f t="shared" si="37"/>
        <v>-0.57096247960847224</v>
      </c>
      <c r="H621" s="380">
        <f t="shared" si="40"/>
        <v>8.8392857142857162E-2</v>
      </c>
    </row>
    <row r="622" spans="2:8">
      <c r="B622" s="363">
        <v>40725</v>
      </c>
      <c r="C622" s="366">
        <v>107.995570321152</v>
      </c>
      <c r="D622" s="367">
        <f t="shared" si="38"/>
        <v>0</v>
      </c>
      <c r="E622" s="362">
        <f t="shared" si="39"/>
        <v>8.7421944692241516E-2</v>
      </c>
      <c r="F622" s="366">
        <v>121.9</v>
      </c>
      <c r="G622" s="367">
        <f t="shared" si="37"/>
        <v>0</v>
      </c>
      <c r="H622" s="380">
        <f t="shared" si="40"/>
        <v>8.7421944692239073E-2</v>
      </c>
    </row>
    <row r="623" spans="2:8">
      <c r="B623" s="363">
        <v>40756</v>
      </c>
      <c r="C623" s="364">
        <v>109.05869324474</v>
      </c>
      <c r="D623" s="365">
        <f t="shared" si="38"/>
        <v>0.98441345365050115</v>
      </c>
      <c r="E623" s="362">
        <f t="shared" si="39"/>
        <v>8.8417329796639965E-2</v>
      </c>
      <c r="F623" s="364">
        <v>123.1</v>
      </c>
      <c r="G623" s="365">
        <f t="shared" si="37"/>
        <v>0.98441345365052335</v>
      </c>
      <c r="H623" s="380">
        <f t="shared" si="40"/>
        <v>8.8417329796640187E-2</v>
      </c>
    </row>
    <row r="624" spans="2:8">
      <c r="B624" s="363">
        <v>40787</v>
      </c>
      <c r="C624" s="364">
        <v>109.235880398671</v>
      </c>
      <c r="D624" s="365">
        <f t="shared" si="38"/>
        <v>0.16246953696150701</v>
      </c>
      <c r="E624" s="362">
        <f t="shared" si="39"/>
        <v>9.4055013309670477E-2</v>
      </c>
      <c r="F624" s="364">
        <v>123.3</v>
      </c>
      <c r="G624" s="365">
        <f t="shared" si="37"/>
        <v>0.16246953696181787</v>
      </c>
      <c r="H624" s="380">
        <f t="shared" si="40"/>
        <v>9.4055013309671587E-2</v>
      </c>
    </row>
    <row r="625" spans="2:8">
      <c r="B625" s="363">
        <v>40817</v>
      </c>
      <c r="C625" s="364">
        <v>108.349944629014</v>
      </c>
      <c r="D625" s="365">
        <f t="shared" si="38"/>
        <v>-0.81103000811056924</v>
      </c>
      <c r="E625" s="362">
        <f t="shared" si="39"/>
        <v>6.1631944444438869E-2</v>
      </c>
      <c r="F625" s="364">
        <v>122.3</v>
      </c>
      <c r="G625" s="365">
        <f t="shared" si="37"/>
        <v>-0.81103000811030279</v>
      </c>
      <c r="H625" s="380">
        <f t="shared" si="40"/>
        <v>6.163194444444442E-2</v>
      </c>
    </row>
    <row r="626" spans="2:8">
      <c r="B626" s="363">
        <v>40848</v>
      </c>
      <c r="C626" s="364">
        <v>108.26135105204899</v>
      </c>
      <c r="D626" s="365">
        <f t="shared" si="38"/>
        <v>-8.176614881377775E-2</v>
      </c>
      <c r="E626" s="362">
        <f t="shared" si="39"/>
        <v>5.6179775280903232E-2</v>
      </c>
      <c r="F626" s="364">
        <v>122.2</v>
      </c>
      <c r="G626" s="365">
        <f t="shared" si="37"/>
        <v>-8.1766148814388373E-2</v>
      </c>
      <c r="H626" s="380">
        <f t="shared" si="40"/>
        <v>5.6179775280898792E-2</v>
      </c>
    </row>
    <row r="627" spans="2:8">
      <c r="B627" s="363">
        <v>40878</v>
      </c>
      <c r="C627" s="364">
        <v>109.14728682170499</v>
      </c>
      <c r="D627" s="365">
        <f t="shared" si="38"/>
        <v>0.81833060556399939</v>
      </c>
      <c r="E627" s="362">
        <f t="shared" si="39"/>
        <v>4.9403747870519599E-2</v>
      </c>
      <c r="F627" s="364">
        <v>123.2</v>
      </c>
      <c r="G627" s="365">
        <f t="shared" si="37"/>
        <v>0.81833060556464332</v>
      </c>
      <c r="H627" s="380">
        <f t="shared" si="40"/>
        <v>4.9403747870528036E-2</v>
      </c>
    </row>
    <row r="628" spans="2:8">
      <c r="B628" s="363">
        <v>40909</v>
      </c>
      <c r="C628" s="364">
        <v>110.299003322259</v>
      </c>
      <c r="D628" s="365">
        <f t="shared" si="38"/>
        <v>1.0551948051950699</v>
      </c>
      <c r="E628" s="362">
        <f t="shared" si="39"/>
        <v>4.4463087248317157E-2</v>
      </c>
      <c r="F628" s="364">
        <v>124.5</v>
      </c>
      <c r="G628" s="365">
        <f t="shared" si="37"/>
        <v>1.0551948051948035</v>
      </c>
      <c r="H628" s="380">
        <f t="shared" si="40"/>
        <v>4.4463087248322042E-2</v>
      </c>
    </row>
    <row r="629" spans="2:8">
      <c r="B629" s="363">
        <v>40940</v>
      </c>
      <c r="C629" s="364">
        <v>111.982281284607</v>
      </c>
      <c r="D629" s="365">
        <f t="shared" si="38"/>
        <v>1.5261044176709371</v>
      </c>
      <c r="E629" s="362">
        <f t="shared" si="39"/>
        <v>4.4628099173551927E-2</v>
      </c>
      <c r="F629" s="364">
        <v>126.4</v>
      </c>
      <c r="G629" s="365">
        <f t="shared" ref="G629:G663" si="41">+((F629/F628)-1)*100</f>
        <v>1.5261044176706928</v>
      </c>
      <c r="H629" s="380">
        <f t="shared" si="40"/>
        <v>4.4628099173553704E-2</v>
      </c>
    </row>
    <row r="630" spans="2:8">
      <c r="B630" s="363">
        <v>40969</v>
      </c>
      <c r="C630" s="364">
        <v>112.513842746401</v>
      </c>
      <c r="D630" s="365">
        <f t="shared" si="38"/>
        <v>0.47468354430377779</v>
      </c>
      <c r="E630" s="362">
        <f t="shared" si="39"/>
        <v>3.2520325203253986E-2</v>
      </c>
      <c r="F630" s="364">
        <v>127</v>
      </c>
      <c r="G630" s="365">
        <f t="shared" si="41"/>
        <v>0.4746835443038</v>
      </c>
      <c r="H630" s="380">
        <f t="shared" si="40"/>
        <v>3.2520325203251987E-2</v>
      </c>
    </row>
    <row r="631" spans="2:8">
      <c r="B631" s="363">
        <v>41000</v>
      </c>
      <c r="C631" s="364">
        <v>112.248062015504</v>
      </c>
      <c r="D631" s="365">
        <f t="shared" si="38"/>
        <v>-0.23622047244092892</v>
      </c>
      <c r="E631" s="362">
        <f t="shared" si="39"/>
        <v>3.3442088091359068E-2</v>
      </c>
      <c r="F631" s="364">
        <v>126.7</v>
      </c>
      <c r="G631" s="365">
        <f t="shared" si="41"/>
        <v>-0.23622047244094002</v>
      </c>
      <c r="H631" s="380">
        <f t="shared" si="40"/>
        <v>3.3442088091353961E-2</v>
      </c>
    </row>
    <row r="632" spans="2:8">
      <c r="B632" s="363">
        <v>41030</v>
      </c>
      <c r="C632" s="364">
        <v>112.691029900332</v>
      </c>
      <c r="D632" s="365">
        <f t="shared" si="38"/>
        <v>0.39463299131776708</v>
      </c>
      <c r="E632" s="362">
        <f t="shared" si="39"/>
        <v>3.7520391517130713E-2</v>
      </c>
      <c r="F632" s="364">
        <v>127.2</v>
      </c>
      <c r="G632" s="365">
        <f t="shared" si="41"/>
        <v>0.39463299131807794</v>
      </c>
      <c r="H632" s="380">
        <f t="shared" si="40"/>
        <v>3.7520391517128937E-2</v>
      </c>
    </row>
    <row r="633" spans="2:8">
      <c r="B633" s="363">
        <v>41061</v>
      </c>
      <c r="C633" s="364">
        <v>112.248062015504</v>
      </c>
      <c r="D633" s="365">
        <f t="shared" si="38"/>
        <v>-0.39308176100597558</v>
      </c>
      <c r="E633" s="362">
        <f t="shared" si="39"/>
        <v>3.9376538146019824E-2</v>
      </c>
      <c r="F633" s="364">
        <v>126.7</v>
      </c>
      <c r="G633" s="365">
        <f t="shared" si="41"/>
        <v>-0.39308176100628645</v>
      </c>
      <c r="H633" s="380">
        <f t="shared" si="40"/>
        <v>3.9376538146021378E-2</v>
      </c>
    </row>
    <row r="634" spans="2:8">
      <c r="B634" s="363">
        <v>41091</v>
      </c>
      <c r="C634" s="364">
        <v>112.33665559247</v>
      </c>
      <c r="D634" s="365">
        <f t="shared" si="38"/>
        <v>7.8926598263895364E-2</v>
      </c>
      <c r="E634" s="362">
        <f t="shared" si="39"/>
        <v>4.0196882690731517E-2</v>
      </c>
      <c r="F634" s="364">
        <v>126.8</v>
      </c>
      <c r="G634" s="365">
        <f t="shared" si="41"/>
        <v>7.8926598263606706E-2</v>
      </c>
      <c r="H634" s="380">
        <f t="shared" si="40"/>
        <v>4.0196882690729963E-2</v>
      </c>
    </row>
    <row r="635" spans="2:8">
      <c r="B635" s="363">
        <v>41122</v>
      </c>
      <c r="C635" s="364">
        <v>112.070874861573</v>
      </c>
      <c r="D635" s="365">
        <f t="shared" si="38"/>
        <v>-0.23659305993689594</v>
      </c>
      <c r="E635" s="362">
        <f t="shared" si="39"/>
        <v>2.7619821283511259E-2</v>
      </c>
      <c r="F635" s="364">
        <v>126.5</v>
      </c>
      <c r="G635" s="365">
        <f t="shared" si="41"/>
        <v>-0.23659305993690705</v>
      </c>
      <c r="H635" s="380">
        <f t="shared" si="40"/>
        <v>2.7619821283509483E-2</v>
      </c>
    </row>
    <row r="636" spans="2:8">
      <c r="B636" s="363">
        <v>41153</v>
      </c>
      <c r="C636" s="364">
        <v>112.248062015504</v>
      </c>
      <c r="D636" s="365">
        <f t="shared" si="38"/>
        <v>0.1581027667981072</v>
      </c>
      <c r="E636" s="362">
        <f t="shared" si="39"/>
        <v>2.7575020275752316E-2</v>
      </c>
      <c r="F636" s="364">
        <v>126.7</v>
      </c>
      <c r="G636" s="365">
        <f t="shared" si="41"/>
        <v>0.15810276679841806</v>
      </c>
      <c r="H636" s="380">
        <f t="shared" si="40"/>
        <v>2.7575020275750317E-2</v>
      </c>
    </row>
    <row r="637" spans="2:8">
      <c r="B637" s="363">
        <v>41183</v>
      </c>
      <c r="C637" s="364">
        <v>111.982281284607</v>
      </c>
      <c r="D637" s="365">
        <f t="shared" si="38"/>
        <v>-0.23677979479084232</v>
      </c>
      <c r="E637" s="362">
        <f t="shared" si="39"/>
        <v>3.3524121013905228E-2</v>
      </c>
      <c r="F637" s="364">
        <v>126.4</v>
      </c>
      <c r="G637" s="365">
        <f t="shared" si="41"/>
        <v>-0.23677979479084232</v>
      </c>
      <c r="H637" s="380">
        <f t="shared" si="40"/>
        <v>3.3524121013900343E-2</v>
      </c>
    </row>
    <row r="638" spans="2:8">
      <c r="B638" s="363">
        <v>41214</v>
      </c>
      <c r="C638" s="364">
        <v>112.691029900332</v>
      </c>
      <c r="D638" s="365">
        <f t="shared" si="38"/>
        <v>0.6329113924047336</v>
      </c>
      <c r="E638" s="362">
        <f t="shared" si="39"/>
        <v>4.0916530278227725E-2</v>
      </c>
      <c r="F638" s="364">
        <v>127.2</v>
      </c>
      <c r="G638" s="365">
        <f t="shared" si="41"/>
        <v>0.63291139240506666</v>
      </c>
      <c r="H638" s="380">
        <f t="shared" si="40"/>
        <v>4.0916530278232388E-2</v>
      </c>
    </row>
    <row r="639" spans="2:8">
      <c r="B639" s="363">
        <v>41244</v>
      </c>
      <c r="C639" s="364">
        <v>113.488372093023</v>
      </c>
      <c r="D639" s="365">
        <f t="shared" si="38"/>
        <v>0.70754716981129562</v>
      </c>
      <c r="E639" s="362">
        <f t="shared" si="39"/>
        <v>3.9772727272729069E-2</v>
      </c>
      <c r="F639" s="364">
        <v>128.1</v>
      </c>
      <c r="G639" s="365">
        <f t="shared" si="41"/>
        <v>0.70754716981131782</v>
      </c>
      <c r="H639" s="380">
        <f t="shared" si="40"/>
        <v>3.9772727272727293E-2</v>
      </c>
    </row>
    <row r="640" spans="2:8">
      <c r="B640" s="363">
        <v>41275</v>
      </c>
      <c r="C640" s="364">
        <v>114.81727574750801</v>
      </c>
      <c r="D640" s="365">
        <f t="shared" si="38"/>
        <v>1.1709601873535869</v>
      </c>
      <c r="E640" s="362">
        <f t="shared" si="39"/>
        <v>4.0963855421685347E-2</v>
      </c>
      <c r="F640" s="364">
        <v>129.6</v>
      </c>
      <c r="G640" s="365">
        <f t="shared" si="41"/>
        <v>1.1709601873536313</v>
      </c>
      <c r="H640" s="380">
        <f t="shared" si="40"/>
        <v>4.0963855421686679E-2</v>
      </c>
    </row>
    <row r="641" spans="2:8">
      <c r="B641" s="363">
        <v>41306</v>
      </c>
      <c r="C641" s="364">
        <v>113.93133997785201</v>
      </c>
      <c r="D641" s="365">
        <f t="shared" si="38"/>
        <v>-0.77160493827099774</v>
      </c>
      <c r="E641" s="362">
        <f t="shared" si="39"/>
        <v>1.7405063291141554E-2</v>
      </c>
      <c r="F641" s="364">
        <v>128.6</v>
      </c>
      <c r="G641" s="365">
        <f t="shared" si="41"/>
        <v>-0.77160493827160836</v>
      </c>
      <c r="H641" s="380">
        <f t="shared" si="40"/>
        <v>1.7405063291139111E-2</v>
      </c>
    </row>
    <row r="642" spans="2:8">
      <c r="B642" s="363">
        <v>41334</v>
      </c>
      <c r="C642" s="364">
        <v>113.842746400886</v>
      </c>
      <c r="D642" s="365">
        <f t="shared" si="38"/>
        <v>-7.776049766747839E-2</v>
      </c>
      <c r="E642" s="362">
        <f t="shared" si="39"/>
        <v>1.1811023622046779E-2</v>
      </c>
      <c r="F642" s="364">
        <v>128.5</v>
      </c>
      <c r="G642" s="365">
        <f t="shared" si="41"/>
        <v>-7.776049766717863E-2</v>
      </c>
      <c r="H642" s="380">
        <f t="shared" si="40"/>
        <v>1.1811023622047223E-2</v>
      </c>
    </row>
    <row r="643" spans="2:8">
      <c r="B643" s="363">
        <v>41365</v>
      </c>
      <c r="C643" s="364">
        <v>114.019933554817</v>
      </c>
      <c r="D643" s="365">
        <f t="shared" si="38"/>
        <v>0.15564202334601429</v>
      </c>
      <c r="E643" s="362">
        <f t="shared" si="39"/>
        <v>1.5785319652719343E-2</v>
      </c>
      <c r="F643" s="364">
        <v>128.69999999999999</v>
      </c>
      <c r="G643" s="365">
        <f t="shared" si="41"/>
        <v>0.15564202334630295</v>
      </c>
      <c r="H643" s="380">
        <f t="shared" si="40"/>
        <v>1.5785319652722896E-2</v>
      </c>
    </row>
    <row r="644" spans="2:8">
      <c r="B644" s="363">
        <v>41395</v>
      </c>
      <c r="C644" s="364">
        <v>113.665559246955</v>
      </c>
      <c r="D644" s="365">
        <f t="shared" si="38"/>
        <v>-0.31080031079971926</v>
      </c>
      <c r="E644" s="362">
        <f t="shared" si="39"/>
        <v>8.6477987421440528E-3</v>
      </c>
      <c r="F644" s="364">
        <v>128.30000000000001</v>
      </c>
      <c r="G644" s="365">
        <f t="shared" si="41"/>
        <v>-0.31080031080029658</v>
      </c>
      <c r="H644" s="380">
        <f t="shared" si="40"/>
        <v>8.6477987421385016E-3</v>
      </c>
    </row>
    <row r="645" spans="2:8">
      <c r="B645" s="363">
        <v>41426</v>
      </c>
      <c r="C645" s="364">
        <v>114.197120708749</v>
      </c>
      <c r="D645" s="365">
        <f t="shared" ref="D645:D693" si="42">+((C645/C644)-1)*100</f>
        <v>0.46765393608727557</v>
      </c>
      <c r="E645" s="362">
        <f t="shared" si="39"/>
        <v>1.7363851617997472E-2</v>
      </c>
      <c r="F645" s="364">
        <v>128.9</v>
      </c>
      <c r="G645" s="365">
        <f t="shared" si="41"/>
        <v>0.46765393608729777</v>
      </c>
      <c r="H645" s="380">
        <f t="shared" si="40"/>
        <v>1.7363851617995252E-2</v>
      </c>
    </row>
    <row r="646" spans="2:8">
      <c r="B646" s="363">
        <v>41456</v>
      </c>
      <c r="C646" s="364">
        <v>114.81727574750801</v>
      </c>
      <c r="D646" s="365">
        <f t="shared" si="42"/>
        <v>0.54305663304827778</v>
      </c>
      <c r="E646" s="362">
        <f t="shared" si="39"/>
        <v>2.2082018927437996E-2</v>
      </c>
      <c r="F646" s="364">
        <v>129.6</v>
      </c>
      <c r="G646" s="365">
        <f t="shared" si="41"/>
        <v>0.5430566330488773</v>
      </c>
      <c r="H646" s="380">
        <f t="shared" si="40"/>
        <v>2.208201892744488E-2</v>
      </c>
    </row>
    <row r="647" spans="2:8">
      <c r="B647" s="363">
        <v>41487</v>
      </c>
      <c r="C647" s="364">
        <v>115.526024363234</v>
      </c>
      <c r="D647" s="365">
        <f t="shared" si="42"/>
        <v>0.6172839506178418</v>
      </c>
      <c r="E647" s="362">
        <f t="shared" si="39"/>
        <v>3.0830039525690411E-2</v>
      </c>
      <c r="F647" s="364">
        <v>130.4</v>
      </c>
      <c r="G647" s="365">
        <f t="shared" si="41"/>
        <v>0.61728395061728669</v>
      </c>
      <c r="H647" s="380">
        <f t="shared" si="40"/>
        <v>3.0830039525691744E-2</v>
      </c>
    </row>
    <row r="648" spans="2:8">
      <c r="B648" s="363">
        <v>41518</v>
      </c>
      <c r="C648" s="364">
        <v>115.880398671096</v>
      </c>
      <c r="D648" s="365">
        <f t="shared" si="42"/>
        <v>0.30674846625708962</v>
      </c>
      <c r="E648" s="362">
        <f t="shared" si="39"/>
        <v>3.2359905288077861E-2</v>
      </c>
      <c r="F648" s="364">
        <v>130.80000000000001</v>
      </c>
      <c r="G648" s="365">
        <f t="shared" si="41"/>
        <v>0.30674846625766694</v>
      </c>
      <c r="H648" s="380">
        <f t="shared" si="40"/>
        <v>3.235990528808208E-2</v>
      </c>
    </row>
    <row r="649" spans="2:8">
      <c r="B649" s="363">
        <v>41548</v>
      </c>
      <c r="C649" s="364">
        <v>116.854928017719</v>
      </c>
      <c r="D649" s="365">
        <f t="shared" si="42"/>
        <v>0.84097859327272317</v>
      </c>
      <c r="E649" s="362">
        <f t="shared" si="39"/>
        <v>4.3512658227849554E-2</v>
      </c>
      <c r="F649" s="364">
        <v>131.9</v>
      </c>
      <c r="G649" s="365">
        <f t="shared" si="41"/>
        <v>0.84097859327216806</v>
      </c>
      <c r="H649" s="380">
        <f t="shared" si="40"/>
        <v>4.3512658227848E-2</v>
      </c>
    </row>
    <row r="650" spans="2:8">
      <c r="B650" s="363">
        <v>41579</v>
      </c>
      <c r="C650" s="364">
        <v>117.65227021040999</v>
      </c>
      <c r="D650" s="365">
        <f t="shared" si="42"/>
        <v>0.68233510235022887</v>
      </c>
      <c r="E650" s="362">
        <f t="shared" si="39"/>
        <v>4.4025157232708834E-2</v>
      </c>
      <c r="F650" s="364">
        <v>132.80000000000001</v>
      </c>
      <c r="G650" s="365">
        <f t="shared" si="41"/>
        <v>0.68233510235027328</v>
      </c>
      <c r="H650" s="380">
        <f t="shared" si="40"/>
        <v>4.4025157232704393E-2</v>
      </c>
    </row>
    <row r="651" spans="2:8">
      <c r="B651" s="363">
        <v>41609</v>
      </c>
      <c r="C651" s="364">
        <v>117.74086378737501</v>
      </c>
      <c r="D651" s="365">
        <f t="shared" si="42"/>
        <v>7.5301204818711831E-2</v>
      </c>
      <c r="E651" s="362">
        <f t="shared" si="39"/>
        <v>3.7470725995314869E-2</v>
      </c>
      <c r="F651" s="364">
        <v>132.9</v>
      </c>
      <c r="G651" s="365">
        <f t="shared" si="41"/>
        <v>7.5301204819266943E-2</v>
      </c>
      <c r="H651" s="380">
        <f t="shared" si="40"/>
        <v>3.7470725995316201E-2</v>
      </c>
    </row>
    <row r="652" spans="2:8">
      <c r="B652" s="363">
        <v>41640</v>
      </c>
      <c r="C652" s="364">
        <v>119.335548172757</v>
      </c>
      <c r="D652" s="365">
        <f t="shared" si="42"/>
        <v>1.3544018058690321</v>
      </c>
      <c r="E652" s="362">
        <f t="shared" si="39"/>
        <v>3.9351851851850528E-2</v>
      </c>
      <c r="F652" s="364">
        <v>134.69999999999999</v>
      </c>
      <c r="G652" s="365">
        <f t="shared" si="41"/>
        <v>1.3544018058690543</v>
      </c>
      <c r="H652" s="380">
        <f t="shared" si="40"/>
        <v>3.935185185185186E-2</v>
      </c>
    </row>
    <row r="653" spans="2:8">
      <c r="B653" s="363">
        <v>41671</v>
      </c>
      <c r="C653" s="364">
        <v>120.132890365449</v>
      </c>
      <c r="D653" s="365">
        <f t="shared" si="42"/>
        <v>0.66815144766227963</v>
      </c>
      <c r="E653" s="362">
        <f t="shared" si="39"/>
        <v>5.4432348367030148E-2</v>
      </c>
      <c r="F653" s="364">
        <v>135.6</v>
      </c>
      <c r="G653" s="365">
        <f t="shared" si="41"/>
        <v>0.66815144766148027</v>
      </c>
      <c r="H653" s="380">
        <f t="shared" si="40"/>
        <v>5.4432348367029482E-2</v>
      </c>
    </row>
    <row r="654" spans="2:8">
      <c r="B654" s="363">
        <v>41699</v>
      </c>
      <c r="C654" s="366">
        <v>120.753045404208</v>
      </c>
      <c r="D654" s="367">
        <f t="shared" si="42"/>
        <v>0.51622418878998211</v>
      </c>
      <c r="E654" s="362">
        <f t="shared" si="39"/>
        <v>6.070038910505593E-2</v>
      </c>
      <c r="F654" s="366">
        <v>136.30000000000001</v>
      </c>
      <c r="G654" s="367">
        <f t="shared" si="41"/>
        <v>0.51622418879058163</v>
      </c>
      <c r="H654" s="380">
        <f t="shared" si="40"/>
        <v>6.0700389105058372E-2</v>
      </c>
    </row>
    <row r="655" spans="2:8">
      <c r="B655" s="363">
        <v>41730</v>
      </c>
      <c r="C655" s="364">
        <v>121.28460686600199</v>
      </c>
      <c r="D655" s="365">
        <f t="shared" si="42"/>
        <v>0.44020542920026884</v>
      </c>
      <c r="E655" s="362">
        <f t="shared" si="39"/>
        <v>6.3714063714064295E-2</v>
      </c>
      <c r="F655" s="364">
        <v>136.9</v>
      </c>
      <c r="G655" s="365">
        <f t="shared" si="41"/>
        <v>0.44020542920029104</v>
      </c>
      <c r="H655" s="380">
        <f t="shared" si="40"/>
        <v>6.3714063714063851E-2</v>
      </c>
    </row>
    <row r="656" spans="2:8">
      <c r="B656" s="363">
        <v>41760</v>
      </c>
      <c r="C656" s="364">
        <v>121.63898117386501</v>
      </c>
      <c r="D656" s="365">
        <f t="shared" si="42"/>
        <v>0.29218407596813822</v>
      </c>
      <c r="E656" s="362">
        <f t="shared" si="39"/>
        <v>7.0148090413091557E-2</v>
      </c>
      <c r="F656" s="364">
        <v>137.30000000000001</v>
      </c>
      <c r="G656" s="365">
        <f t="shared" si="41"/>
        <v>0.29218407596787177</v>
      </c>
      <c r="H656" s="380">
        <f t="shared" si="40"/>
        <v>7.0148090413094222E-2</v>
      </c>
    </row>
    <row r="657" spans="2:8">
      <c r="B657" s="363">
        <v>41791</v>
      </c>
      <c r="C657" s="364">
        <v>121.461794019934</v>
      </c>
      <c r="D657" s="365">
        <f t="shared" si="42"/>
        <v>-0.14566642388901263</v>
      </c>
      <c r="E657" s="362">
        <f t="shared" ref="E657:E693" si="43">+(C657/C645)-1</f>
        <v>6.3615205585725754E-2</v>
      </c>
      <c r="F657" s="364">
        <v>137.1</v>
      </c>
      <c r="G657" s="365">
        <f t="shared" si="41"/>
        <v>-0.14566642388930129</v>
      </c>
      <c r="H657" s="380">
        <f t="shared" ref="H657:H693" si="44">+(F657/F645)-1</f>
        <v>6.361520558572531E-2</v>
      </c>
    </row>
    <row r="658" spans="2:8">
      <c r="B658" s="363">
        <v>41821</v>
      </c>
      <c r="C658" s="364">
        <v>121.10741971207101</v>
      </c>
      <c r="D658" s="365">
        <f t="shared" si="42"/>
        <v>-0.29175784099223501</v>
      </c>
      <c r="E658" s="362">
        <f t="shared" si="43"/>
        <v>5.4783950617287802E-2</v>
      </c>
      <c r="F658" s="364">
        <v>136.69999999999999</v>
      </c>
      <c r="G658" s="365">
        <f t="shared" si="41"/>
        <v>-0.29175784099197966</v>
      </c>
      <c r="H658" s="380">
        <f t="shared" si="44"/>
        <v>5.4783950617283805E-2</v>
      </c>
    </row>
    <row r="659" spans="2:8">
      <c r="B659" s="363">
        <v>41852</v>
      </c>
      <c r="C659" s="364">
        <v>120.664451827243</v>
      </c>
      <c r="D659" s="365">
        <f t="shared" si="42"/>
        <v>-0.36576444769540473</v>
      </c>
      <c r="E659" s="362">
        <f t="shared" si="43"/>
        <v>4.4478527607362928E-2</v>
      </c>
      <c r="F659" s="364">
        <v>136.19999999999999</v>
      </c>
      <c r="G659" s="365">
        <f t="shared" si="41"/>
        <v>-0.36576444769568228</v>
      </c>
      <c r="H659" s="380">
        <f t="shared" si="44"/>
        <v>4.4478527607361817E-2</v>
      </c>
    </row>
    <row r="660" spans="2:8">
      <c r="B660" s="363">
        <v>41883</v>
      </c>
      <c r="C660" s="364">
        <v>120.664451827243</v>
      </c>
      <c r="D660" s="365">
        <f t="shared" si="42"/>
        <v>0</v>
      </c>
      <c r="E660" s="362">
        <f t="shared" si="43"/>
        <v>4.1284403669731962E-2</v>
      </c>
      <c r="F660" s="364">
        <v>136.19999999999999</v>
      </c>
      <c r="G660" s="365">
        <f t="shared" si="41"/>
        <v>0</v>
      </c>
      <c r="H660" s="380">
        <f t="shared" si="44"/>
        <v>4.1284403669724634E-2</v>
      </c>
    </row>
    <row r="661" spans="2:8">
      <c r="B661" s="363">
        <v>41913</v>
      </c>
      <c r="C661" s="364">
        <v>120.93023255814001</v>
      </c>
      <c r="D661" s="365">
        <f t="shared" si="42"/>
        <v>0.22026431718060735</v>
      </c>
      <c r="E661" s="362">
        <f t="shared" si="43"/>
        <v>3.4874905231237152E-2</v>
      </c>
      <c r="F661" s="364">
        <v>136.5</v>
      </c>
      <c r="G661" s="365">
        <f t="shared" si="41"/>
        <v>0.22026431718062955</v>
      </c>
      <c r="H661" s="380">
        <f t="shared" si="44"/>
        <v>3.487490523123582E-2</v>
      </c>
    </row>
    <row r="662" spans="2:8">
      <c r="B662" s="363">
        <v>41944</v>
      </c>
      <c r="C662" s="364">
        <v>121.81616832779601</v>
      </c>
      <c r="D662" s="365">
        <f t="shared" si="42"/>
        <v>0.73260073260015268</v>
      </c>
      <c r="E662" s="362">
        <f t="shared" si="43"/>
        <v>3.5391566265056129E-2</v>
      </c>
      <c r="F662" s="364">
        <v>137.5</v>
      </c>
      <c r="G662" s="365">
        <f t="shared" si="41"/>
        <v>0.73260073260073</v>
      </c>
      <c r="H662" s="380">
        <f t="shared" si="44"/>
        <v>3.5391566265060126E-2</v>
      </c>
    </row>
    <row r="663" spans="2:8">
      <c r="B663" s="363">
        <v>41974</v>
      </c>
      <c r="C663" s="364">
        <v>122.702104097453</v>
      </c>
      <c r="D663" s="365">
        <f t="shared" si="42"/>
        <v>0.7272727272729762</v>
      </c>
      <c r="E663" s="388">
        <f t="shared" si="43"/>
        <v>4.2136945071486576E-2</v>
      </c>
      <c r="F663" s="364">
        <v>138.5</v>
      </c>
      <c r="G663" s="365">
        <f t="shared" si="41"/>
        <v>0.72727272727273196</v>
      </c>
      <c r="H663" s="380">
        <f t="shared" si="44"/>
        <v>4.2136945071482357E-2</v>
      </c>
    </row>
    <row r="664" spans="2:8">
      <c r="B664" s="363">
        <v>42005</v>
      </c>
      <c r="C664" s="364">
        <v>123.410852713178</v>
      </c>
      <c r="D664" s="365">
        <f t="shared" si="42"/>
        <v>0.57761732851955294</v>
      </c>
      <c r="E664" s="362">
        <f t="shared" si="43"/>
        <v>3.4149962880476892E-2</v>
      </c>
      <c r="F664" s="364">
        <v>123.410852713178</v>
      </c>
      <c r="G664" s="365"/>
      <c r="H664" s="380">
        <f t="shared" si="44"/>
        <v>-8.3809556695040754E-2</v>
      </c>
    </row>
    <row r="665" spans="2:8">
      <c r="B665" s="363">
        <v>42036</v>
      </c>
      <c r="C665" s="364">
        <v>124.03100775193801</v>
      </c>
      <c r="D665" s="365">
        <f t="shared" si="42"/>
        <v>0.50251256281432788</v>
      </c>
      <c r="E665" s="362">
        <f t="shared" si="43"/>
        <v>3.244837758111685E-2</v>
      </c>
      <c r="F665" s="364">
        <v>124.03100775193801</v>
      </c>
      <c r="G665" s="365"/>
      <c r="H665" s="380">
        <f t="shared" si="44"/>
        <v>-8.5317051976858349E-2</v>
      </c>
    </row>
    <row r="666" spans="2:8">
      <c r="B666" s="363">
        <v>42064</v>
      </c>
      <c r="C666" s="364">
        <v>123.942414174972</v>
      </c>
      <c r="D666" s="365">
        <f t="shared" si="42"/>
        <v>-7.142857142884429E-2</v>
      </c>
      <c r="E666" s="362">
        <f t="shared" si="43"/>
        <v>2.6412325752016796E-2</v>
      </c>
      <c r="F666" s="364">
        <v>123.942414174972</v>
      </c>
      <c r="G666" s="365"/>
      <c r="H666" s="380">
        <f t="shared" si="44"/>
        <v>-9.0664606199765241E-2</v>
      </c>
    </row>
    <row r="667" spans="2:8">
      <c r="B667" s="363">
        <v>42095</v>
      </c>
      <c r="C667" s="364">
        <v>123.765227021041</v>
      </c>
      <c r="D667" s="365">
        <f t="shared" si="42"/>
        <v>-0.1429592566115967</v>
      </c>
      <c r="E667" s="362">
        <f t="shared" si="43"/>
        <v>2.0452885317752356E-2</v>
      </c>
      <c r="F667" s="364">
        <v>123.765227021041</v>
      </c>
      <c r="G667" s="365"/>
      <c r="H667" s="380">
        <f t="shared" si="44"/>
        <v>-9.5944287647618753E-2</v>
      </c>
    </row>
    <row r="668" spans="2:8">
      <c r="B668" s="363">
        <v>42125</v>
      </c>
      <c r="C668" s="364">
        <v>125.62569213732</v>
      </c>
      <c r="D668" s="365">
        <f t="shared" si="42"/>
        <v>1.5032211882604951</v>
      </c>
      <c r="E668" s="362">
        <f t="shared" si="43"/>
        <v>3.2774945375089848E-2</v>
      </c>
      <c r="F668" s="364">
        <v>125.62569213732</v>
      </c>
      <c r="G668" s="365"/>
      <c r="H668" s="380">
        <f t="shared" si="44"/>
        <v>-8.5027733886962942E-2</v>
      </c>
    </row>
    <row r="669" spans="2:8">
      <c r="B669" s="363">
        <v>42156</v>
      </c>
      <c r="C669" s="364">
        <v>124.473975636766</v>
      </c>
      <c r="D669" s="365">
        <f t="shared" si="42"/>
        <v>-0.91678420310319364</v>
      </c>
      <c r="E669" s="362">
        <f t="shared" si="43"/>
        <v>2.4799416484311498E-2</v>
      </c>
      <c r="F669" s="364">
        <v>124.473975636766</v>
      </c>
      <c r="G669" s="365"/>
      <c r="H669" s="380">
        <f t="shared" si="44"/>
        <v>-9.209354021323124E-2</v>
      </c>
    </row>
    <row r="670" spans="2:8">
      <c r="B670" s="363">
        <v>42186</v>
      </c>
      <c r="C670" s="364">
        <v>125.448504983389</v>
      </c>
      <c r="D670" s="365">
        <f t="shared" si="42"/>
        <v>0.78291814946669369</v>
      </c>
      <c r="E670" s="362">
        <f t="shared" si="43"/>
        <v>3.5844915874178263E-2</v>
      </c>
      <c r="F670" s="364">
        <v>125.448504983389</v>
      </c>
      <c r="G670" s="365"/>
      <c r="H670" s="380">
        <f t="shared" si="44"/>
        <v>-8.2307937210029158E-2</v>
      </c>
    </row>
    <row r="671" spans="2:8">
      <c r="B671" s="363">
        <v>42217</v>
      </c>
      <c r="C671" s="364">
        <v>125.359911406423</v>
      </c>
      <c r="D671" s="365">
        <f t="shared" si="42"/>
        <v>-7.0621468926823638E-2</v>
      </c>
      <c r="E671" s="362">
        <f t="shared" si="43"/>
        <v>3.8913362701904486E-2</v>
      </c>
      <c r="F671" s="364">
        <v>125.359911406423</v>
      </c>
      <c r="G671" s="365"/>
      <c r="H671" s="380">
        <f t="shared" si="44"/>
        <v>-7.9589490408054298E-2</v>
      </c>
    </row>
    <row r="672" spans="2:8">
      <c r="B672" s="363">
        <v>42248</v>
      </c>
      <c r="C672" s="364">
        <v>125.18272425249199</v>
      </c>
      <c r="D672" s="365">
        <f t="shared" si="42"/>
        <v>-0.14134275618347125</v>
      </c>
      <c r="E672" s="362">
        <f t="shared" si="43"/>
        <v>3.7444933920703249E-2</v>
      </c>
      <c r="F672" s="364">
        <v>125.18272425249199</v>
      </c>
      <c r="G672" s="365"/>
      <c r="H672" s="380">
        <f t="shared" si="44"/>
        <v>-8.0890423990513938E-2</v>
      </c>
    </row>
    <row r="673" spans="2:8">
      <c r="B673" s="363">
        <v>42278</v>
      </c>
      <c r="C673" s="364">
        <v>124.828349944629</v>
      </c>
      <c r="D673" s="365">
        <f t="shared" si="42"/>
        <v>-0.28308563340435633</v>
      </c>
      <c r="E673" s="362">
        <f t="shared" si="43"/>
        <v>3.2234432234428123E-2</v>
      </c>
      <c r="F673" s="364">
        <v>124.828349944629</v>
      </c>
      <c r="G673" s="365"/>
      <c r="H673" s="380">
        <f t="shared" si="44"/>
        <v>-8.5506593812241793E-2</v>
      </c>
    </row>
    <row r="674" spans="2:8">
      <c r="B674" s="363">
        <v>42309</v>
      </c>
      <c r="C674" s="364">
        <v>125.359911406423</v>
      </c>
      <c r="D674" s="365">
        <f t="shared" si="42"/>
        <v>0.42583392476931436</v>
      </c>
      <c r="E674" s="362">
        <f t="shared" si="43"/>
        <v>2.9090909090910611E-2</v>
      </c>
      <c r="F674" s="364">
        <v>125.359911406423</v>
      </c>
      <c r="G674" s="365"/>
      <c r="H674" s="380">
        <f t="shared" si="44"/>
        <v>-8.829155340783279E-2</v>
      </c>
    </row>
    <row r="675" spans="2:8">
      <c r="B675" s="363">
        <v>42339</v>
      </c>
      <c r="C675" s="364">
        <v>126.511627906977</v>
      </c>
      <c r="D675" s="365">
        <f t="shared" si="42"/>
        <v>0.91872791519458374</v>
      </c>
      <c r="E675" s="362">
        <f t="shared" si="43"/>
        <v>3.104693140794379E-2</v>
      </c>
      <c r="F675" s="364">
        <v>126.511627906977</v>
      </c>
      <c r="G675" s="365"/>
      <c r="H675" s="380">
        <f t="shared" si="44"/>
        <v>-8.6558643270924218E-2</v>
      </c>
    </row>
    <row r="676" spans="2:8">
      <c r="B676" s="363">
        <v>42370</v>
      </c>
      <c r="C676" s="364">
        <v>129.78959025470701</v>
      </c>
      <c r="D676" s="365">
        <f t="shared" si="42"/>
        <v>2.5910364145659948</v>
      </c>
      <c r="E676" s="362">
        <f t="shared" si="43"/>
        <v>5.168700646088209E-2</v>
      </c>
      <c r="F676" s="364">
        <v>129.78959025470701</v>
      </c>
      <c r="G676" s="365"/>
      <c r="H676" s="380">
        <f t="shared" si="44"/>
        <v>5.168700646088209E-2</v>
      </c>
    </row>
    <row r="677" spans="2:8">
      <c r="B677" s="363">
        <v>42401</v>
      </c>
      <c r="C677" s="364">
        <v>130.40974529346599</v>
      </c>
      <c r="D677" s="365">
        <f t="shared" si="42"/>
        <v>0.47781569965814619</v>
      </c>
      <c r="E677" s="362">
        <f t="shared" si="43"/>
        <v>5.1428571428569381E-2</v>
      </c>
      <c r="F677" s="364">
        <v>130.40974529346599</v>
      </c>
      <c r="G677" s="365"/>
      <c r="H677" s="380">
        <f t="shared" si="44"/>
        <v>5.1428571428569381E-2</v>
      </c>
    </row>
    <row r="678" spans="2:8">
      <c r="B678" s="363">
        <v>42430</v>
      </c>
      <c r="C678" s="364">
        <v>129.78959025470701</v>
      </c>
      <c r="D678" s="365">
        <f t="shared" si="42"/>
        <v>-0.47554347826033183</v>
      </c>
      <c r="E678" s="362">
        <f t="shared" si="43"/>
        <v>4.7176554681922056E-2</v>
      </c>
      <c r="F678" s="364">
        <v>129.78959025470701</v>
      </c>
      <c r="G678" s="365"/>
      <c r="H678" s="380">
        <f t="shared" si="44"/>
        <v>4.7176554681922056E-2</v>
      </c>
    </row>
    <row r="679" spans="2:8">
      <c r="B679" s="363">
        <v>42461</v>
      </c>
      <c r="C679" s="364">
        <v>129.34662236987799</v>
      </c>
      <c r="D679" s="365">
        <f t="shared" si="42"/>
        <v>-0.34129692832816083</v>
      </c>
      <c r="E679" s="362">
        <f t="shared" si="43"/>
        <v>4.5096635647815075E-2</v>
      </c>
      <c r="F679" s="364">
        <v>129.34662236987799</v>
      </c>
      <c r="G679" s="365"/>
      <c r="H679" s="380">
        <f t="shared" si="44"/>
        <v>4.5096635647815075E-2</v>
      </c>
    </row>
    <row r="680" spans="2:8">
      <c r="B680" s="363">
        <v>42491</v>
      </c>
      <c r="C680" s="364">
        <v>129.96677740863799</v>
      </c>
      <c r="D680" s="365">
        <f t="shared" si="42"/>
        <v>0.47945205479476005</v>
      </c>
      <c r="E680" s="362">
        <f t="shared" si="43"/>
        <v>3.4555712270805339E-2</v>
      </c>
      <c r="F680" s="364">
        <v>129.96677740863799</v>
      </c>
      <c r="G680" s="365"/>
      <c r="H680" s="380">
        <f t="shared" si="44"/>
        <v>3.4555712270805339E-2</v>
      </c>
    </row>
    <row r="681" spans="2:8">
      <c r="B681" s="363">
        <v>42522</v>
      </c>
      <c r="C681" s="364">
        <v>130.32115171650099</v>
      </c>
      <c r="D681" s="365">
        <f t="shared" si="42"/>
        <v>0.27266530334040251</v>
      </c>
      <c r="E681" s="362">
        <f t="shared" si="43"/>
        <v>4.6975088967977863E-2</v>
      </c>
      <c r="F681" s="364">
        <v>130.32115171650099</v>
      </c>
      <c r="G681" s="365"/>
      <c r="H681" s="380">
        <f t="shared" si="44"/>
        <v>4.6975088967977863E-2</v>
      </c>
    </row>
    <row r="682" spans="2:8">
      <c r="B682" s="363">
        <v>42552</v>
      </c>
      <c r="C682" s="364">
        <v>129.08084163898101</v>
      </c>
      <c r="D682" s="365">
        <f t="shared" si="42"/>
        <v>-0.95173351461635969</v>
      </c>
      <c r="E682" s="362">
        <f t="shared" si="43"/>
        <v>2.8954802259883339E-2</v>
      </c>
      <c r="F682" s="364">
        <v>129.08084163898101</v>
      </c>
      <c r="G682" s="365"/>
      <c r="H682" s="380">
        <f t="shared" si="44"/>
        <v>2.8954802259883339E-2</v>
      </c>
    </row>
    <row r="683" spans="2:8">
      <c r="B683" s="363">
        <v>42583</v>
      </c>
      <c r="C683" s="364">
        <v>129.34662236987799</v>
      </c>
      <c r="D683" s="365">
        <f t="shared" si="42"/>
        <v>0.20590253946461967</v>
      </c>
      <c r="E683" s="362">
        <f t="shared" si="43"/>
        <v>3.180212014134165E-2</v>
      </c>
      <c r="F683" s="364">
        <v>129.34662236987799</v>
      </c>
      <c r="G683" s="365"/>
      <c r="H683" s="380">
        <f t="shared" si="44"/>
        <v>3.180212014134165E-2</v>
      </c>
    </row>
    <row r="684" spans="2:8">
      <c r="B684" s="363">
        <v>42614</v>
      </c>
      <c r="C684" s="364">
        <v>129.612403100775</v>
      </c>
      <c r="D684" s="365">
        <f t="shared" si="42"/>
        <v>0.205479452054802</v>
      </c>
      <c r="E684" s="362">
        <f t="shared" si="43"/>
        <v>3.5385704175509014E-2</v>
      </c>
      <c r="F684" s="364">
        <v>129.612403100775</v>
      </c>
      <c r="G684" s="365"/>
      <c r="H684" s="380">
        <f t="shared" si="44"/>
        <v>3.5385704175509014E-2</v>
      </c>
    </row>
    <row r="685" spans="2:8">
      <c r="B685" s="363">
        <v>42644</v>
      </c>
      <c r="C685" s="364">
        <v>129.34662236987799</v>
      </c>
      <c r="D685" s="365">
        <f t="shared" si="42"/>
        <v>-0.20505809979494138</v>
      </c>
      <c r="E685" s="362">
        <f t="shared" si="43"/>
        <v>3.6195883605392609E-2</v>
      </c>
      <c r="F685" s="364">
        <v>129.34662236987799</v>
      </c>
      <c r="G685" s="365"/>
      <c r="H685" s="380">
        <f t="shared" si="44"/>
        <v>3.6195883605392609E-2</v>
      </c>
    </row>
    <row r="686" spans="2:8">
      <c r="B686" s="363">
        <v>42675</v>
      </c>
      <c r="C686" s="364">
        <v>130.67552602436299</v>
      </c>
      <c r="D686" s="365">
        <f t="shared" si="42"/>
        <v>1.0273972602739434</v>
      </c>
      <c r="E686" s="362">
        <f t="shared" si="43"/>
        <v>4.24028268551222E-2</v>
      </c>
      <c r="F686" s="364">
        <v>130.67552602436299</v>
      </c>
      <c r="G686" s="365"/>
      <c r="H686" s="380">
        <f t="shared" si="44"/>
        <v>4.24028268551222E-2</v>
      </c>
    </row>
    <row r="687" spans="2:8">
      <c r="B687" s="363">
        <v>42705</v>
      </c>
      <c r="C687" s="364">
        <v>131.47286821705401</v>
      </c>
      <c r="D687" s="365">
        <f t="shared" si="42"/>
        <v>0.61016949152541411</v>
      </c>
      <c r="E687" s="362">
        <f t="shared" si="43"/>
        <v>3.9215686274505668E-2</v>
      </c>
      <c r="F687" s="364">
        <v>131.47286821705401</v>
      </c>
      <c r="G687" s="365"/>
      <c r="H687" s="380">
        <f t="shared" si="44"/>
        <v>3.9215686274505668E-2</v>
      </c>
    </row>
    <row r="688" spans="2:8">
      <c r="B688" s="363">
        <v>42736</v>
      </c>
      <c r="C688" s="364">
        <v>132.270210409745</v>
      </c>
      <c r="D688" s="365">
        <f t="shared" si="42"/>
        <v>0.60646900269538673</v>
      </c>
      <c r="E688" s="362">
        <f t="shared" si="43"/>
        <v>1.9112627986342279E-2</v>
      </c>
      <c r="F688" s="364">
        <v>132.270210409745</v>
      </c>
      <c r="G688" s="365"/>
      <c r="H688" s="380">
        <f t="shared" si="44"/>
        <v>1.9112627986342279E-2</v>
      </c>
    </row>
    <row r="689" spans="2:8">
      <c r="B689" s="363">
        <v>42767</v>
      </c>
      <c r="C689" s="364">
        <v>133.42192691029899</v>
      </c>
      <c r="D689" s="365">
        <f t="shared" si="42"/>
        <v>0.87073007367737265</v>
      </c>
      <c r="E689" s="362">
        <f t="shared" si="43"/>
        <v>2.3097826086958317E-2</v>
      </c>
      <c r="F689" s="364">
        <v>133.42192691029899</v>
      </c>
      <c r="G689" s="365"/>
      <c r="H689" s="380">
        <f t="shared" si="44"/>
        <v>2.3097826086958317E-2</v>
      </c>
    </row>
    <row r="690" spans="2:8">
      <c r="B690" s="363">
        <v>42795</v>
      </c>
      <c r="C690" s="364">
        <v>133.42192691029899</v>
      </c>
      <c r="D690" s="365">
        <f t="shared" si="42"/>
        <v>0</v>
      </c>
      <c r="E690" s="362">
        <f t="shared" si="43"/>
        <v>2.7986348122863047E-2</v>
      </c>
      <c r="F690" s="364">
        <v>133.42192691029899</v>
      </c>
      <c r="G690" s="365"/>
      <c r="H690" s="380">
        <f t="shared" si="44"/>
        <v>2.7986348122863047E-2</v>
      </c>
    </row>
    <row r="691" spans="2:8">
      <c r="B691" s="363">
        <v>42826</v>
      </c>
      <c r="C691" s="364">
        <v>134.042081949059</v>
      </c>
      <c r="D691" s="365">
        <f t="shared" si="42"/>
        <v>0.46480743691923454</v>
      </c>
      <c r="E691" s="362">
        <f t="shared" si="43"/>
        <v>3.6301369863017685E-2</v>
      </c>
      <c r="F691" s="364">
        <v>134.042081949059</v>
      </c>
      <c r="G691" s="365"/>
      <c r="H691" s="380">
        <f t="shared" si="44"/>
        <v>3.6301369863017685E-2</v>
      </c>
    </row>
    <row r="692" spans="2:8">
      <c r="B692" s="363">
        <v>42856</v>
      </c>
      <c r="C692" s="364">
        <v>134.396456256921</v>
      </c>
      <c r="D692" s="365">
        <f t="shared" si="42"/>
        <v>0.26437541308608203</v>
      </c>
      <c r="E692" s="362">
        <f t="shared" si="43"/>
        <v>3.4083162917514898E-2</v>
      </c>
      <c r="F692" s="364">
        <v>134.396456256921</v>
      </c>
      <c r="G692" s="365"/>
      <c r="H692" s="380">
        <f t="shared" si="44"/>
        <v>3.4083162917514898E-2</v>
      </c>
    </row>
    <row r="693" spans="2:8">
      <c r="B693" s="363">
        <v>42887</v>
      </c>
      <c r="C693" s="364">
        <v>134.13067552602399</v>
      </c>
      <c r="D693" s="365">
        <f t="shared" si="42"/>
        <v>-0.19775873434410007</v>
      </c>
      <c r="E693" s="362">
        <f t="shared" si="43"/>
        <v>2.9231815091768087E-2</v>
      </c>
      <c r="F693" s="364">
        <v>134.13067552602399</v>
      </c>
      <c r="G693" s="365"/>
      <c r="H693" s="380">
        <f t="shared" si="44"/>
        <v>2.9231815091768087E-2</v>
      </c>
    </row>
    <row r="694" spans="2:8">
      <c r="B694" s="363">
        <v>42917</v>
      </c>
      <c r="E694" s="362">
        <v>3.9807824296499872E-2</v>
      </c>
    </row>
    <row r="695" spans="2:8">
      <c r="B695" s="363">
        <v>42948</v>
      </c>
      <c r="C695" s="357"/>
      <c r="D695" s="357"/>
      <c r="E695" s="362">
        <v>4.0410958904109728E-2</v>
      </c>
      <c r="F695" s="358"/>
      <c r="G695" s="358"/>
      <c r="H695" s="376"/>
    </row>
    <row r="696" spans="2:8" hidden="1">
      <c r="B696" s="363">
        <v>42979</v>
      </c>
      <c r="C696" s="357"/>
      <c r="D696" s="357"/>
      <c r="E696" s="362">
        <v>4.1695146958304896E-2</v>
      </c>
      <c r="F696" s="358"/>
      <c r="G696" s="358"/>
      <c r="H696" s="376"/>
    </row>
    <row r="697" spans="2:8">
      <c r="B697" s="363">
        <v>43009</v>
      </c>
      <c r="C697" s="357"/>
      <c r="D697" s="357"/>
      <c r="E697" s="362">
        <v>4.9315068493150482E-2</v>
      </c>
      <c r="F697" s="358"/>
      <c r="G697" s="358"/>
      <c r="H697" s="376"/>
    </row>
    <row r="698" spans="2:8">
      <c r="B698" s="363">
        <v>43040</v>
      </c>
      <c r="E698" s="362">
        <v>4.6101694915254399E-2</v>
      </c>
    </row>
    <row r="699" spans="2:8">
      <c r="B699" s="363">
        <v>43070</v>
      </c>
      <c r="E699" s="362">
        <v>4.514824797843664E-2</v>
      </c>
    </row>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
  <sheetViews>
    <sheetView workbookViewId="0"/>
  </sheetViews>
  <sheetFormatPr defaultColWidth="9.109375" defaultRowHeight="14.4"/>
  <cols>
    <col min="1" max="16384" width="9.109375" style="236"/>
  </cols>
  <sheetData>
    <row r="1" spans="1:3">
      <c r="A1" s="236" t="s">
        <v>607</v>
      </c>
      <c r="B1" s="236" t="s">
        <v>1339</v>
      </c>
    </row>
    <row r="4" spans="1:3">
      <c r="A4" s="236" t="s">
        <v>610</v>
      </c>
      <c r="B4" s="432">
        <f>+'Credits to the Private Sector'!F5*100</f>
        <v>9.0707553519072945</v>
      </c>
      <c r="C4" s="432"/>
    </row>
    <row r="5" spans="1:3">
      <c r="A5" s="236" t="s">
        <v>611</v>
      </c>
      <c r="B5" s="432">
        <f>+'Credits to the Private Sector'!F6*100</f>
        <v>5.1186866202367112</v>
      </c>
      <c r="C5" s="432"/>
    </row>
    <row r="6" spans="1:3">
      <c r="A6" s="236" t="s">
        <v>297</v>
      </c>
      <c r="B6" s="432">
        <f>+'Credits to the Private Sector'!F7*100</f>
        <v>5.9141894648415612</v>
      </c>
      <c r="C6" s="432"/>
    </row>
    <row r="7" spans="1:3">
      <c r="A7" s="236" t="s">
        <v>298</v>
      </c>
      <c r="B7" s="432">
        <f>+'Credits to the Private Sector'!F8*100</f>
        <v>6.933793173104549</v>
      </c>
      <c r="C7" s="432"/>
    </row>
    <row r="8" spans="1:3">
      <c r="A8" s="236" t="s">
        <v>299</v>
      </c>
      <c r="B8" s="432">
        <f>+'Credits to the Private Sector'!F9*100</f>
        <v>8.28097557758446</v>
      </c>
      <c r="C8" s="432"/>
    </row>
    <row r="9" spans="1:3">
      <c r="A9" s="236" t="s">
        <v>300</v>
      </c>
      <c r="B9" s="432">
        <f>+'Credits to the Private Sector'!F10*100</f>
        <v>9.433449350732003</v>
      </c>
      <c r="C9" s="432"/>
    </row>
    <row r="10" spans="1:3">
      <c r="A10" s="236" t="s">
        <v>301</v>
      </c>
      <c r="B10" s="432">
        <f>+'Credits to the Private Sector'!F11*100</f>
        <v>11.390015582147921</v>
      </c>
      <c r="C10" s="432"/>
    </row>
    <row r="11" spans="1:3">
      <c r="A11" s="236" t="s">
        <v>302</v>
      </c>
      <c r="B11" s="432">
        <f>+'Credits to the Private Sector'!F12*100</f>
        <v>13.671508425640511</v>
      </c>
      <c r="C11" s="432"/>
    </row>
    <row r="12" spans="1:3">
      <c r="A12" s="236" t="s">
        <v>303</v>
      </c>
      <c r="B12" s="432">
        <f>+'Credits to the Private Sector'!F13*100</f>
        <v>15.072314349125278</v>
      </c>
      <c r="C12" s="432"/>
    </row>
    <row r="13" spans="1:3">
      <c r="A13" s="236" t="s">
        <v>304</v>
      </c>
      <c r="B13" s="432">
        <f>+'Credits to the Private Sector'!F14*100</f>
        <v>17.940108056959652</v>
      </c>
      <c r="C13" s="432"/>
    </row>
    <row r="14" spans="1:3">
      <c r="A14" s="236" t="s">
        <v>305</v>
      </c>
      <c r="B14" s="432">
        <f>+'Credits to the Private Sector'!F15*100</f>
        <v>19.450846477445651</v>
      </c>
      <c r="C14" s="432"/>
    </row>
    <row r="15" spans="1:3">
      <c r="A15" s="236" t="s">
        <v>306</v>
      </c>
      <c r="B15" s="432">
        <f>+'Credits to the Private Sector'!F16*100</f>
        <v>19.671629231239233</v>
      </c>
      <c r="C15" s="432"/>
    </row>
    <row r="16" spans="1:3">
      <c r="A16" s="236" t="s">
        <v>307</v>
      </c>
      <c r="B16" s="432">
        <f>+'Credits to the Private Sector'!F17*100</f>
        <v>19.270702715396176</v>
      </c>
      <c r="C16" s="432"/>
    </row>
    <row r="17" spans="1:3">
      <c r="A17" s="236" t="s">
        <v>308</v>
      </c>
      <c r="B17" s="432">
        <f>+'Credits to the Private Sector'!F18*100</f>
        <v>18.427794224313619</v>
      </c>
      <c r="C17" s="432"/>
    </row>
    <row r="18" spans="1:3">
      <c r="A18" s="236" t="s">
        <v>309</v>
      </c>
      <c r="B18" s="432">
        <f>+'Credits to the Private Sector'!F19*100</f>
        <v>16.151953909600632</v>
      </c>
      <c r="C18" s="432"/>
    </row>
    <row r="19" spans="1:3">
      <c r="A19" s="236" t="s">
        <v>310</v>
      </c>
      <c r="B19" s="432">
        <f>+'Credits to the Private Sector'!F20*100</f>
        <v>16.914598647050049</v>
      </c>
      <c r="C19" s="432"/>
    </row>
    <row r="20" spans="1:3">
      <c r="A20" s="236" t="s">
        <v>612</v>
      </c>
      <c r="B20" s="432">
        <f>+'Credits to the Private Sector'!F21*100</f>
        <v>17.632846982776165</v>
      </c>
      <c r="C20" s="432"/>
    </row>
    <row r="21" spans="1:3">
      <c r="A21" s="236" t="s">
        <v>613</v>
      </c>
      <c r="B21" s="432">
        <f>+'Credits to the Private Sector'!F22*100</f>
        <v>17.617286244388634</v>
      </c>
      <c r="C21" s="432"/>
    </row>
    <row r="22" spans="1:3">
      <c r="A22" s="236" t="s">
        <v>614</v>
      </c>
      <c r="B22" s="432">
        <f>+'Credits to the Private Sector'!F23*100</f>
        <v>19.083784274952929</v>
      </c>
      <c r="C22" s="432"/>
    </row>
    <row r="23" spans="1:3">
      <c r="A23" s="236" t="s">
        <v>615</v>
      </c>
      <c r="B23" s="432">
        <f>+'Credits to the Private Sector'!F24*100</f>
        <v>17.807199945958647</v>
      </c>
      <c r="C23" s="432"/>
    </row>
    <row r="24" spans="1:3">
      <c r="A24" s="236" t="s">
        <v>616</v>
      </c>
      <c r="B24" s="432">
        <f>+'Credits to the Private Sector'!F25*100</f>
        <v>18.317804138889006</v>
      </c>
      <c r="C24" s="432"/>
    </row>
    <row r="25" spans="1:3">
      <c r="A25" s="236" t="s">
        <v>617</v>
      </c>
      <c r="B25" s="432">
        <f>+'Credits to the Private Sector'!F26*100</f>
        <v>16.647682209650664</v>
      </c>
      <c r="C25" s="432"/>
    </row>
    <row r="26" spans="1:3">
      <c r="A26" s="236" t="s">
        <v>618</v>
      </c>
      <c r="B26" s="432">
        <f>+'Credits to the Private Sector'!F27*100</f>
        <v>17.531732218028427</v>
      </c>
      <c r="C26" s="432"/>
    </row>
    <row r="27" spans="1:3">
      <c r="A27" s="236" t="s">
        <v>619</v>
      </c>
      <c r="B27" s="432">
        <f>+'Credits to the Private Sector'!F28*100</f>
        <v>16.481070152731139</v>
      </c>
      <c r="C27" s="432"/>
    </row>
    <row r="28" spans="1:3">
      <c r="A28" s="236" t="s">
        <v>620</v>
      </c>
      <c r="B28" s="432">
        <f>+'Credits to the Private Sector'!F29*100</f>
        <v>15.231711843415766</v>
      </c>
      <c r="C28" s="432"/>
    </row>
    <row r="29" spans="1:3">
      <c r="A29" s="236" t="s">
        <v>621</v>
      </c>
      <c r="B29" s="432">
        <f>+'Credits to the Private Sector'!F30*100</f>
        <v>12.537451913807644</v>
      </c>
      <c r="C29" s="432"/>
    </row>
    <row r="30" spans="1:3">
      <c r="A30" s="236" t="s">
        <v>622</v>
      </c>
      <c r="B30" s="432">
        <f>+'Credits to the Private Sector'!F31*100</f>
        <v>12.625432356617555</v>
      </c>
      <c r="C30" s="432"/>
    </row>
    <row r="31" spans="1:3">
      <c r="A31" s="236" t="s">
        <v>623</v>
      </c>
      <c r="B31" s="432">
        <f>+'Credits to the Private Sector'!F32*100</f>
        <v>10.993910745817693</v>
      </c>
      <c r="C31" s="432"/>
    </row>
    <row r="32" spans="1:3">
      <c r="A32" s="236" t="s">
        <v>624</v>
      </c>
      <c r="B32" s="432">
        <f>+'Credits to the Private Sector'!F33*100</f>
        <v>10.206986877074261</v>
      </c>
      <c r="C32" s="432"/>
    </row>
    <row r="33" spans="1:3">
      <c r="A33" s="236" t="s">
        <v>625</v>
      </c>
      <c r="B33" s="432">
        <f>+'Credits to the Private Sector'!F34*100</f>
        <v>10.189258498634638</v>
      </c>
      <c r="C33" s="432"/>
    </row>
    <row r="34" spans="1:3">
      <c r="A34" s="236" t="s">
        <v>626</v>
      </c>
      <c r="B34" s="432">
        <f>+'Credits to the Private Sector'!F35*100</f>
        <v>9.602569222089679</v>
      </c>
      <c r="C34" s="432"/>
    </row>
    <row r="35" spans="1:3">
      <c r="A35" s="236" t="s">
        <v>627</v>
      </c>
      <c r="B35" s="432">
        <f>+'Credits to the Private Sector'!F36*100</f>
        <v>11.443713741325869</v>
      </c>
      <c r="C35" s="432"/>
    </row>
    <row r="36" spans="1:3">
      <c r="A36" s="236" t="s">
        <v>628</v>
      </c>
      <c r="B36" s="432">
        <f>+'Credits to the Private Sector'!F37*100</f>
        <v>13.81721791252018</v>
      </c>
      <c r="C36" s="432"/>
    </row>
    <row r="37" spans="1:3">
      <c r="A37" s="236" t="s">
        <v>629</v>
      </c>
      <c r="B37" s="432">
        <f>+'Credits to the Private Sector'!F38*100</f>
        <v>18.309955006944904</v>
      </c>
      <c r="C37" s="432"/>
    </row>
    <row r="38" spans="1:3">
      <c r="A38" s="236" t="s">
        <v>630</v>
      </c>
      <c r="B38" s="432">
        <f>+'Credits to the Private Sector'!F39*100</f>
        <v>21.110258676319322</v>
      </c>
      <c r="C38" s="432"/>
    </row>
    <row r="39" spans="1:3">
      <c r="A39" s="236" t="s">
        <v>631</v>
      </c>
      <c r="B39" s="432">
        <f>+'Credits to the Private Sector'!F40*100</f>
        <v>21.039206386656154</v>
      </c>
      <c r="C39" s="432"/>
    </row>
    <row r="40" spans="1:3">
      <c r="A40" s="236" t="s">
        <v>311</v>
      </c>
      <c r="B40" s="432">
        <f>+'Credits to the Private Sector'!F41*100</f>
        <v>22.79068409464762</v>
      </c>
      <c r="C40" s="432"/>
    </row>
    <row r="41" spans="1:3">
      <c r="A41" s="236" t="s">
        <v>312</v>
      </c>
      <c r="B41" s="432">
        <f>+'Credits to the Private Sector'!F42*100</f>
        <v>23.775186678287216</v>
      </c>
      <c r="C41" s="432"/>
    </row>
    <row r="42" spans="1:3">
      <c r="A42" s="236" t="s">
        <v>313</v>
      </c>
      <c r="B42" s="432">
        <f>+'Credits to the Private Sector'!F43*100</f>
        <v>20.382328907917064</v>
      </c>
      <c r="C42" s="432"/>
    </row>
    <row r="43" spans="1:3">
      <c r="A43" s="236" t="s">
        <v>314</v>
      </c>
      <c r="B43" s="432">
        <f>+'Credits to the Private Sector'!F44*100</f>
        <v>21.186485987906408</v>
      </c>
      <c r="C43" s="432"/>
    </row>
    <row r="44" spans="1:3">
      <c r="A44" s="236" t="s">
        <v>315</v>
      </c>
      <c r="B44" s="432">
        <f>+'Credits to the Private Sector'!F45*100</f>
        <v>20.030800015601137</v>
      </c>
      <c r="C44" s="432"/>
    </row>
    <row r="45" spans="1:3">
      <c r="A45" s="236" t="s">
        <v>316</v>
      </c>
      <c r="B45" s="432">
        <f>+'Credits to the Private Sector'!F46*100</f>
        <v>20.58750452321247</v>
      </c>
      <c r="C45" s="432"/>
    </row>
    <row r="46" spans="1:3">
      <c r="A46" s="236" t="s">
        <v>317</v>
      </c>
      <c r="B46" s="432">
        <f>+'Credits to the Private Sector'!F47*100</f>
        <v>17.959054831974058</v>
      </c>
      <c r="C46" s="432"/>
    </row>
    <row r="47" spans="1:3">
      <c r="A47" s="236" t="s">
        <v>318</v>
      </c>
      <c r="B47" s="432">
        <f>+'Credits to the Private Sector'!F48*100</f>
        <v>11.482300267158404</v>
      </c>
      <c r="C47" s="432"/>
    </row>
    <row r="48" spans="1:3">
      <c r="A48" s="236" t="s">
        <v>632</v>
      </c>
      <c r="B48" s="432">
        <f>+'Credits to the Private Sector'!F49*100</f>
        <v>11.747444487012983</v>
      </c>
      <c r="C48" s="432"/>
    </row>
    <row r="49" spans="1:3">
      <c r="A49" s="236" t="s">
        <v>633</v>
      </c>
      <c r="B49" s="432">
        <f>+'Credits to the Private Sector'!F50*100</f>
        <v>11.834778804633242</v>
      </c>
      <c r="C49" s="432"/>
    </row>
    <row r="50" spans="1:3">
      <c r="A50" s="236" t="s">
        <v>634</v>
      </c>
      <c r="B50" s="432">
        <f>+'Credits to the Private Sector'!F51*100</f>
        <v>11.648563311611184</v>
      </c>
      <c r="C50" s="432"/>
    </row>
    <row r="51" spans="1:3">
      <c r="A51" s="236" t="s">
        <v>635</v>
      </c>
      <c r="B51" s="432">
        <f>+'Credits to the Private Sector'!F52*100</f>
        <v>14.367996604314643</v>
      </c>
      <c r="C51" s="432"/>
    </row>
    <row r="52" spans="1:3">
      <c r="A52" s="236" t="s">
        <v>636</v>
      </c>
      <c r="B52" s="432">
        <f>+'Credits to the Private Sector'!F53*100</f>
        <v>18.358541931212287</v>
      </c>
      <c r="C52" s="432"/>
    </row>
    <row r="53" spans="1:3">
      <c r="A53" s="236" t="s">
        <v>637</v>
      </c>
      <c r="B53" s="432">
        <f>+'Credits to the Private Sector'!F54*100</f>
        <v>22.923074674527513</v>
      </c>
      <c r="C53" s="432"/>
    </row>
    <row r="54" spans="1:3">
      <c r="A54" s="236" t="s">
        <v>638</v>
      </c>
      <c r="B54" s="432">
        <f>+'Credits to the Private Sector'!F55*100</f>
        <v>27.225750011752908</v>
      </c>
      <c r="C54" s="432"/>
    </row>
    <row r="55" spans="1:3">
      <c r="A55" s="236" t="s">
        <v>639</v>
      </c>
      <c r="B55" s="432">
        <f>+'Credits to the Private Sector'!F56*100</f>
        <v>30.657846652417565</v>
      </c>
      <c r="C55" s="432"/>
    </row>
    <row r="56" spans="1:3">
      <c r="A56" s="236" t="s">
        <v>640</v>
      </c>
      <c r="B56" s="432">
        <f>+'Credits to the Private Sector'!F57*100</f>
        <v>33.377801664830187</v>
      </c>
      <c r="C56" s="432"/>
    </row>
    <row r="57" spans="1:3">
      <c r="A57" s="236" t="s">
        <v>641</v>
      </c>
      <c r="B57" s="432">
        <f>+'Credits to the Private Sector'!F58*100</f>
        <v>35.952236441779135</v>
      </c>
      <c r="C57" s="432"/>
    </row>
    <row r="58" spans="1:3">
      <c r="A58" s="236" t="s">
        <v>642</v>
      </c>
      <c r="B58" s="432">
        <f>+'Credits to the Private Sector'!F59*100</f>
        <v>39.530451792963724</v>
      </c>
      <c r="C58" s="432"/>
    </row>
    <row r="59" spans="1:3">
      <c r="A59" s="236" t="s">
        <v>643</v>
      </c>
      <c r="B59" s="432">
        <f>+'Credits to the Private Sector'!F60*100</f>
        <v>47.159093538277105</v>
      </c>
    </row>
    <row r="60" spans="1:3">
      <c r="A60" s="236" t="s">
        <v>644</v>
      </c>
      <c r="B60" s="432">
        <f>+'Credits to the Private Sector'!F61*100</f>
        <v>43.265112153556458</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8"/>
  <sheetViews>
    <sheetView zoomScaleNormal="100" zoomScalePageLayoutView="70" workbookViewId="0">
      <selection activeCell="E57" sqref="E57"/>
    </sheetView>
  </sheetViews>
  <sheetFormatPr defaultColWidth="8.88671875" defaultRowHeight="14.4"/>
  <cols>
    <col min="1" max="1" width="8.88671875" style="43"/>
    <col min="2" max="9" width="15.33203125" style="117" customWidth="1"/>
    <col min="10" max="13" width="8.88671875" style="43"/>
    <col min="14" max="14" width="30.109375" style="43" customWidth="1"/>
    <col min="15" max="18" width="10.33203125" style="43" bestFit="1" customWidth="1"/>
    <col min="19" max="16384" width="8.88671875" style="43"/>
  </cols>
  <sheetData>
    <row r="1" spans="1:18" ht="43.2">
      <c r="A1" s="117" t="s">
        <v>563</v>
      </c>
      <c r="B1" s="220" t="s">
        <v>564</v>
      </c>
      <c r="C1" s="220" t="s">
        <v>565</v>
      </c>
      <c r="D1" s="220" t="s">
        <v>401</v>
      </c>
      <c r="E1" s="220" t="s">
        <v>487</v>
      </c>
      <c r="F1" s="220"/>
      <c r="G1" s="220" t="s">
        <v>604</v>
      </c>
      <c r="H1" s="220" t="s">
        <v>566</v>
      </c>
      <c r="I1" s="220" t="s">
        <v>487</v>
      </c>
    </row>
    <row r="2" spans="1:18">
      <c r="A2" s="117">
        <v>1960</v>
      </c>
    </row>
    <row r="3" spans="1:18">
      <c r="A3" s="117">
        <v>1961</v>
      </c>
    </row>
    <row r="4" spans="1:18" ht="27.6">
      <c r="A4" s="117">
        <v>1962</v>
      </c>
      <c r="B4" s="280">
        <v>-1.7265843020745752E-3</v>
      </c>
      <c r="C4" s="280">
        <v>-4.1620856553350322E-3</v>
      </c>
      <c r="D4" s="280">
        <v>3.8705963150109835E-3</v>
      </c>
      <c r="E4" s="280">
        <f>SUM(B4:D4)</f>
        <v>-2.0180736423986239E-3</v>
      </c>
      <c r="F4" s="280"/>
      <c r="G4" s="355">
        <v>3.6131389280240752E-3</v>
      </c>
      <c r="H4" s="280">
        <f t="shared" ref="H4:H35" si="0">E4-(G4)</f>
        <v>-5.6312125704226987E-3</v>
      </c>
      <c r="I4" s="280">
        <f t="shared" ref="I4:I35" si="1">SUM(G4:H4)</f>
        <v>-2.0180736423986234E-3</v>
      </c>
      <c r="K4" s="430"/>
      <c r="N4" s="392" t="s">
        <v>491</v>
      </c>
      <c r="O4" s="392" t="s">
        <v>567</v>
      </c>
      <c r="P4" s="392" t="s">
        <v>489</v>
      </c>
      <c r="Q4" s="392" t="s">
        <v>490</v>
      </c>
      <c r="R4" s="392" t="s">
        <v>605</v>
      </c>
    </row>
    <row r="5" spans="1:18">
      <c r="A5" s="117">
        <v>1963</v>
      </c>
      <c r="B5" s="280">
        <v>-2.6412535955323657E-3</v>
      </c>
      <c r="C5" s="280">
        <v>1.0408721237318772E-2</v>
      </c>
      <c r="D5" s="280">
        <v>4.2910526026393274E-3</v>
      </c>
      <c r="E5" s="280">
        <f t="shared" ref="E5:E57" si="2">SUM(B5:D5)</f>
        <v>1.2058520244425733E-2</v>
      </c>
      <c r="F5" s="280"/>
      <c r="G5" s="355">
        <v>9.8735188975582304E-3</v>
      </c>
      <c r="H5" s="280">
        <f t="shared" si="0"/>
        <v>2.1850013468675024E-3</v>
      </c>
      <c r="I5" s="280">
        <f t="shared" si="1"/>
        <v>1.2058520244425733E-2</v>
      </c>
      <c r="K5" s="430"/>
      <c r="N5" s="393" t="s">
        <v>405</v>
      </c>
      <c r="O5" s="394">
        <f>AVERAGE(B4:B22)</f>
        <v>8.107328713046244E-3</v>
      </c>
      <c r="P5" s="394">
        <f>AVERAGE(B23:B32)</f>
        <v>9.1190460784972838E-3</v>
      </c>
      <c r="Q5" s="394">
        <f>AVERAGE(B33:B45)</f>
        <v>1.4719976791692537E-4</v>
      </c>
      <c r="R5" s="394">
        <f>AVERAGE(B46:B57)</f>
        <v>-9.290343095275452E-3</v>
      </c>
    </row>
    <row r="6" spans="1:18">
      <c r="A6" s="117">
        <v>1964</v>
      </c>
      <c r="B6" s="280">
        <v>8.096225730216431E-3</v>
      </c>
      <c r="C6" s="280">
        <v>1.2258669631175181E-2</v>
      </c>
      <c r="D6" s="280">
        <v>7.1143177875161038E-3</v>
      </c>
      <c r="E6" s="280">
        <f t="shared" si="2"/>
        <v>2.7469213148907715E-2</v>
      </c>
      <c r="F6" s="280"/>
      <c r="G6" s="355">
        <v>7.833764008432352E-3</v>
      </c>
      <c r="H6" s="280">
        <f t="shared" si="0"/>
        <v>1.9635449140475363E-2</v>
      </c>
      <c r="I6" s="280">
        <f t="shared" si="1"/>
        <v>2.7469213148907715E-2</v>
      </c>
      <c r="K6" s="430"/>
      <c r="N6" s="393" t="s">
        <v>565</v>
      </c>
      <c r="O6" s="394">
        <f>AVERAGE(C4:C22)</f>
        <v>2.7845267100437701E-3</v>
      </c>
      <c r="P6" s="394">
        <f>AVERAGE(C23:C32)</f>
        <v>-5.0788683003388123E-3</v>
      </c>
      <c r="Q6" s="394">
        <f>AVERAGE(C33:C45)</f>
        <v>2.8268049068313182E-4</v>
      </c>
      <c r="R6" s="394">
        <f>AVERAGE(C46:C57)</f>
        <v>1.9905986733972625E-3</v>
      </c>
    </row>
    <row r="7" spans="1:18">
      <c r="A7" s="117">
        <v>1965</v>
      </c>
      <c r="B7" s="280">
        <v>1.4051061806163379E-2</v>
      </c>
      <c r="C7" s="280">
        <v>5.6339370638831543E-3</v>
      </c>
      <c r="D7" s="280">
        <v>8.8493676752784949E-3</v>
      </c>
      <c r="E7" s="280">
        <f t="shared" si="2"/>
        <v>2.8534366545325027E-2</v>
      </c>
      <c r="F7" s="280"/>
      <c r="G7" s="355">
        <v>3.6496103459517538E-4</v>
      </c>
      <c r="H7" s="280">
        <f t="shared" si="0"/>
        <v>2.8169405510729852E-2</v>
      </c>
      <c r="I7" s="280">
        <f t="shared" si="1"/>
        <v>2.8534366545325027E-2</v>
      </c>
      <c r="K7" s="430"/>
      <c r="N7" s="395" t="s">
        <v>401</v>
      </c>
      <c r="O7" s="396">
        <f>AVERAGE(D4:D22)</f>
        <v>1.6037458620489147E-2</v>
      </c>
      <c r="P7" s="396">
        <f>AVERAGE(D23:D32)</f>
        <v>2.3749356663302187E-2</v>
      </c>
      <c r="Q7" s="396">
        <f>AVERAGE(D33:D45)</f>
        <v>9.7948253878452664E-3</v>
      </c>
      <c r="R7" s="396">
        <f>AVERAGE(D46:D57)</f>
        <v>9.4714750565617727E-3</v>
      </c>
    </row>
    <row r="8" spans="1:18">
      <c r="A8" s="117">
        <v>1966</v>
      </c>
      <c r="B8" s="280">
        <v>2.1045803996068726E-2</v>
      </c>
      <c r="C8" s="280">
        <v>-1.5464032586697263E-3</v>
      </c>
      <c r="D8" s="280">
        <v>3.2351657460736975E-3</v>
      </c>
      <c r="E8" s="280">
        <f t="shared" si="2"/>
        <v>2.2734566483472697E-2</v>
      </c>
      <c r="F8" s="280"/>
      <c r="G8" s="355">
        <v>1.598592074599544E-2</v>
      </c>
      <c r="H8" s="280">
        <f t="shared" si="0"/>
        <v>6.7486457374772574E-3</v>
      </c>
      <c r="I8" s="280">
        <f t="shared" si="1"/>
        <v>2.2734566483472697E-2</v>
      </c>
      <c r="K8" s="430"/>
      <c r="N8" s="397" t="s">
        <v>512</v>
      </c>
      <c r="O8" s="398">
        <f>AVERAGE(E4:E22)</f>
        <v>2.6929314043579157E-2</v>
      </c>
      <c r="P8" s="398">
        <f>AVERAGE(E23:E32)</f>
        <v>2.7789534441460661E-2</v>
      </c>
      <c r="Q8" s="398">
        <f>AVERAGE(E33:E45)</f>
        <v>1.0224705646445323E-2</v>
      </c>
      <c r="R8" s="398">
        <f>AVERAGE(E46:E57)</f>
        <v>2.1717306346835837E-3</v>
      </c>
    </row>
    <row r="9" spans="1:18">
      <c r="A9" s="117">
        <v>1967</v>
      </c>
      <c r="B9" s="280">
        <v>4.686117450223324E-2</v>
      </c>
      <c r="C9" s="280">
        <v>3.1272115559478342E-3</v>
      </c>
      <c r="D9" s="280">
        <v>8.7670254488262708E-3</v>
      </c>
      <c r="E9" s="280">
        <f t="shared" si="2"/>
        <v>5.8755411507007346E-2</v>
      </c>
      <c r="F9" s="280"/>
      <c r="G9" s="355">
        <v>4.6463442237513655E-2</v>
      </c>
      <c r="H9" s="280">
        <f t="shared" si="0"/>
        <v>1.2291969269493691E-2</v>
      </c>
      <c r="I9" s="280">
        <f t="shared" si="1"/>
        <v>5.8755411507007346E-2</v>
      </c>
      <c r="K9" s="430"/>
      <c r="N9" s="393" t="s">
        <v>402</v>
      </c>
      <c r="O9" s="394">
        <f>AVERAGE(G4:G22)</f>
        <v>1.2731794078686723E-2</v>
      </c>
      <c r="P9" s="394">
        <f>AVERAGE(G23:G32)</f>
        <v>2.3968457304954189E-2</v>
      </c>
      <c r="Q9" s="394">
        <f>AVERAGE(G33:G45)</f>
        <v>-2.2691324309432213E-3</v>
      </c>
      <c r="R9" s="394">
        <f>AVERAGE(G46:G57)</f>
        <v>-4.8603899455808555E-3</v>
      </c>
    </row>
    <row r="10" spans="1:18">
      <c r="A10" s="117">
        <v>1968</v>
      </c>
      <c r="B10" s="280">
        <v>3.3272085846035887E-2</v>
      </c>
      <c r="C10" s="280">
        <v>6.0283559832402384E-3</v>
      </c>
      <c r="D10" s="280">
        <v>6.9501727944649748E-3</v>
      </c>
      <c r="E10" s="280">
        <f t="shared" si="2"/>
        <v>4.6250614623741103E-2</v>
      </c>
      <c r="F10" s="280"/>
      <c r="G10" s="355">
        <v>3.4483804746657534E-2</v>
      </c>
      <c r="H10" s="280">
        <f t="shared" si="0"/>
        <v>1.1766809877083569E-2</v>
      </c>
      <c r="I10" s="280">
        <f t="shared" si="1"/>
        <v>4.6250614623741103E-2</v>
      </c>
      <c r="K10" s="430"/>
      <c r="N10" s="395" t="s">
        <v>516</v>
      </c>
      <c r="O10" s="396">
        <f>AVERAGE(H4:H22)</f>
        <v>1.4197519964892441E-2</v>
      </c>
      <c r="P10" s="396">
        <f>AVERAGE(H23:H32)</f>
        <v>3.821077136506465E-3</v>
      </c>
      <c r="Q10" s="396">
        <f>AVERAGE(H33:H45)</f>
        <v>1.2493838077388544E-2</v>
      </c>
      <c r="R10" s="396">
        <f>AVERAGE(H46:H57)</f>
        <v>7.0321205802644374E-3</v>
      </c>
    </row>
    <row r="11" spans="1:18">
      <c r="A11" s="117">
        <v>1969</v>
      </c>
      <c r="B11" s="280">
        <v>2.2977785322287204E-2</v>
      </c>
      <c r="C11" s="280">
        <v>-3.8711649803380571E-3</v>
      </c>
      <c r="D11" s="280">
        <v>4.5587874943887382E-3</v>
      </c>
      <c r="E11" s="280">
        <f t="shared" si="2"/>
        <v>2.3665407836337887E-2</v>
      </c>
      <c r="F11" s="280"/>
      <c r="G11" s="355">
        <v>1.4884562474178104E-2</v>
      </c>
      <c r="H11" s="280">
        <f t="shared" si="0"/>
        <v>8.7808453621597837E-3</v>
      </c>
      <c r="I11" s="280">
        <f t="shared" si="1"/>
        <v>2.3665407836337887E-2</v>
      </c>
      <c r="K11" s="430"/>
      <c r="N11" s="397" t="s">
        <v>512</v>
      </c>
      <c r="O11" s="398">
        <f>AVERAGE(I4:I22)</f>
        <v>2.6929314043579157E-2</v>
      </c>
      <c r="P11" s="398">
        <f>AVERAGE(I23:I32)</f>
        <v>2.7789534441460661E-2</v>
      </c>
      <c r="Q11" s="398">
        <f>AVERAGE(I33:I45)</f>
        <v>1.0224705646445323E-2</v>
      </c>
      <c r="R11" s="398">
        <f>AVERAGE(I46:I57)</f>
        <v>2.1717306346835837E-3</v>
      </c>
    </row>
    <row r="12" spans="1:18">
      <c r="A12" s="117">
        <v>1970</v>
      </c>
      <c r="B12" s="280">
        <v>3.0352053546416579E-2</v>
      </c>
      <c r="C12" s="280">
        <v>1.4818975768688347E-2</v>
      </c>
      <c r="D12" s="280">
        <v>7.6404901472605048E-3</v>
      </c>
      <c r="E12" s="280">
        <f t="shared" si="2"/>
        <v>5.2811519462365432E-2</v>
      </c>
      <c r="F12" s="280"/>
      <c r="G12" s="355">
        <v>9.2488782231589673E-3</v>
      </c>
      <c r="H12" s="280">
        <f t="shared" si="0"/>
        <v>4.3562641239206466E-2</v>
      </c>
      <c r="I12" s="280">
        <f t="shared" si="1"/>
        <v>5.2811519462365432E-2</v>
      </c>
      <c r="K12" s="430"/>
    </row>
    <row r="13" spans="1:18">
      <c r="A13" s="117">
        <v>1971</v>
      </c>
      <c r="B13" s="280">
        <v>9.3998816031430378E-3</v>
      </c>
      <c r="C13" s="280">
        <v>3.9535807323587413E-4</v>
      </c>
      <c r="D13" s="280">
        <v>1.2871769898893996E-2</v>
      </c>
      <c r="E13" s="280">
        <f t="shared" si="2"/>
        <v>2.2667009575272908E-2</v>
      </c>
      <c r="F13" s="280"/>
      <c r="G13" s="355">
        <v>2.0753203970370698E-2</v>
      </c>
      <c r="H13" s="280">
        <f t="shared" si="0"/>
        <v>1.9138056049022092E-3</v>
      </c>
      <c r="I13" s="280">
        <f t="shared" si="1"/>
        <v>2.2667009575272908E-2</v>
      </c>
      <c r="K13" s="430"/>
    </row>
    <row r="14" spans="1:18">
      <c r="A14" s="117">
        <v>1972</v>
      </c>
      <c r="B14" s="280">
        <v>-3.103192804698905E-3</v>
      </c>
      <c r="C14" s="280">
        <v>1.2211151225587316E-2</v>
      </c>
      <c r="D14" s="280">
        <v>1.7080909762012438E-2</v>
      </c>
      <c r="E14" s="280">
        <f t="shared" si="2"/>
        <v>2.6188868182900848E-2</v>
      </c>
      <c r="F14" s="280"/>
      <c r="G14" s="355">
        <v>3.2757121501925578E-2</v>
      </c>
      <c r="H14" s="280">
        <f t="shared" si="0"/>
        <v>-6.5682533190247298E-3</v>
      </c>
      <c r="I14" s="280">
        <f t="shared" si="1"/>
        <v>2.6188868182900848E-2</v>
      </c>
      <c r="K14" s="430"/>
    </row>
    <row r="15" spans="1:18">
      <c r="A15" s="117">
        <v>1973</v>
      </c>
      <c r="B15" s="280">
        <v>-2.5761713873431652E-2</v>
      </c>
      <c r="C15" s="280">
        <v>-1.1559127513697531E-3</v>
      </c>
      <c r="D15" s="280">
        <v>2.4089246542964078E-2</v>
      </c>
      <c r="E15" s="280">
        <f t="shared" si="2"/>
        <v>-2.828380081837327E-3</v>
      </c>
      <c r="F15" s="280"/>
      <c r="G15" s="355">
        <v>1.436118607515152E-2</v>
      </c>
      <c r="H15" s="280">
        <f t="shared" si="0"/>
        <v>-1.7189566156988849E-2</v>
      </c>
      <c r="I15" s="280">
        <f t="shared" si="1"/>
        <v>-2.8283800818373287E-3</v>
      </c>
      <c r="K15" s="430"/>
    </row>
    <row r="16" spans="1:18">
      <c r="A16" s="117">
        <v>1974</v>
      </c>
      <c r="B16" s="280">
        <v>-2.2782966378222129E-2</v>
      </c>
      <c r="C16" s="280">
        <v>-1.583034140684722E-2</v>
      </c>
      <c r="D16" s="280">
        <v>3.1694959776108568E-2</v>
      </c>
      <c r="E16" s="280">
        <f t="shared" si="2"/>
        <v>-6.9183480089607813E-3</v>
      </c>
      <c r="F16" s="280"/>
      <c r="G16" s="355">
        <v>3.1484864690664921E-3</v>
      </c>
      <c r="H16" s="280">
        <f t="shared" si="0"/>
        <v>-1.0066834478027274E-2</v>
      </c>
      <c r="I16" s="280">
        <f t="shared" si="1"/>
        <v>-6.9183480089607821E-3</v>
      </c>
      <c r="K16" s="430"/>
    </row>
    <row r="17" spans="1:11">
      <c r="A17" s="117">
        <v>1975</v>
      </c>
      <c r="B17" s="280">
        <v>8.1716756276005251E-3</v>
      </c>
      <c r="C17" s="280">
        <v>9.2330296668436396E-3</v>
      </c>
      <c r="D17" s="280">
        <v>1.5874746496011949E-2</v>
      </c>
      <c r="E17" s="280">
        <f t="shared" si="2"/>
        <v>3.3279451790456112E-2</v>
      </c>
      <c r="F17" s="280"/>
      <c r="G17" s="355">
        <v>4.5265865912841666E-2</v>
      </c>
      <c r="H17" s="280">
        <f t="shared" si="0"/>
        <v>-1.1986414122385554E-2</v>
      </c>
      <c r="I17" s="280">
        <f t="shared" si="1"/>
        <v>3.3279451790456112E-2</v>
      </c>
      <c r="K17" s="430"/>
    </row>
    <row r="18" spans="1:11">
      <c r="A18" s="117">
        <v>1976</v>
      </c>
      <c r="B18" s="280">
        <v>6.0578810398579382E-2</v>
      </c>
      <c r="C18" s="280">
        <v>6.2422654587475368E-3</v>
      </c>
      <c r="D18" s="280">
        <v>1.2388097985459453E-2</v>
      </c>
      <c r="E18" s="280">
        <f t="shared" si="2"/>
        <v>7.9209173842786362E-2</v>
      </c>
      <c r="F18" s="280"/>
      <c r="G18" s="355">
        <v>3.4036705185693517E-3</v>
      </c>
      <c r="H18" s="280">
        <f t="shared" si="0"/>
        <v>7.5805503324217011E-2</v>
      </c>
      <c r="I18" s="280">
        <f t="shared" si="1"/>
        <v>7.9209173842786362E-2</v>
      </c>
      <c r="K18" s="430"/>
    </row>
    <row r="19" spans="1:11">
      <c r="A19" s="117">
        <v>1977</v>
      </c>
      <c r="B19" s="280">
        <v>-1.4182319114315379E-2</v>
      </c>
      <c r="C19" s="280">
        <v>8.1595063159942971E-3</v>
      </c>
      <c r="D19" s="280">
        <v>2.3361293333512764E-2</v>
      </c>
      <c r="E19" s="280">
        <f t="shared" si="2"/>
        <v>1.7338480535191683E-2</v>
      </c>
      <c r="F19" s="280"/>
      <c r="G19" s="355">
        <v>2.7141826157432666E-3</v>
      </c>
      <c r="H19" s="280">
        <f t="shared" si="0"/>
        <v>1.4624297919448416E-2</v>
      </c>
      <c r="I19" s="280">
        <f t="shared" si="1"/>
        <v>1.7338480535191683E-2</v>
      </c>
      <c r="K19" s="430"/>
    </row>
    <row r="20" spans="1:11">
      <c r="A20" s="117">
        <v>1978</v>
      </c>
      <c r="B20" s="280">
        <v>1.5228174044988416E-2</v>
      </c>
      <c r="C20" s="280">
        <v>1.1762029541630692E-2</v>
      </c>
      <c r="D20" s="280">
        <v>3.2556980949628202E-2</v>
      </c>
      <c r="E20" s="280">
        <f t="shared" si="2"/>
        <v>5.9547184536247313E-2</v>
      </c>
      <c r="F20" s="280"/>
      <c r="G20" s="355">
        <v>-3.1522096117258358E-3</v>
      </c>
      <c r="H20" s="280">
        <f t="shared" si="0"/>
        <v>6.2699394147973153E-2</v>
      </c>
      <c r="I20" s="280">
        <f t="shared" si="1"/>
        <v>5.954718453624732E-2</v>
      </c>
      <c r="K20" s="430"/>
    </row>
    <row r="21" spans="1:11">
      <c r="A21" s="117">
        <v>1979</v>
      </c>
      <c r="B21" s="280">
        <v>-4.0082669969513034E-2</v>
      </c>
      <c r="C21" s="280">
        <v>-2.1492693229125337E-2</v>
      </c>
      <c r="D21" s="280">
        <v>5.1088066754650108E-2</v>
      </c>
      <c r="E21" s="280">
        <f t="shared" si="2"/>
        <v>-1.0487296443988263E-2</v>
      </c>
      <c r="F21" s="280"/>
      <c r="G21" s="355">
        <v>-1.6188823856589221E-2</v>
      </c>
      <c r="H21" s="280">
        <f t="shared" si="0"/>
        <v>5.7015274126009582E-3</v>
      </c>
      <c r="I21" s="280">
        <f t="shared" si="1"/>
        <v>-1.0487296443988263E-2</v>
      </c>
      <c r="K21" s="430"/>
    </row>
    <row r="22" spans="1:11">
      <c r="A22" s="117">
        <v>1980</v>
      </c>
      <c r="B22" s="280">
        <v>-5.7147868380660822E-3</v>
      </c>
      <c r="C22" s="280">
        <v>6.8539725022387366E-4</v>
      </c>
      <c r="D22" s="280">
        <v>2.8428666278593129E-2</v>
      </c>
      <c r="E22" s="280">
        <f t="shared" si="2"/>
        <v>2.3399276690750922E-2</v>
      </c>
      <c r="F22" s="280"/>
      <c r="G22" s="355">
        <v>-3.9105873964193471E-3</v>
      </c>
      <c r="H22" s="280">
        <f t="shared" si="0"/>
        <v>2.7309864087170267E-2</v>
      </c>
      <c r="I22" s="280">
        <f t="shared" si="1"/>
        <v>2.3399276690750918E-2</v>
      </c>
      <c r="K22" s="430"/>
    </row>
    <row r="23" spans="1:11">
      <c r="A23" s="117">
        <v>1981</v>
      </c>
      <c r="B23" s="280">
        <v>-1.9656011078079988E-2</v>
      </c>
      <c r="C23" s="280">
        <v>-9.1012260023319996E-3</v>
      </c>
      <c r="D23" s="280">
        <v>1.9694011254774515E-2</v>
      </c>
      <c r="E23" s="280">
        <f t="shared" si="2"/>
        <v>-9.0632258256374727E-3</v>
      </c>
      <c r="F23" s="280"/>
      <c r="G23" s="355">
        <v>2.9987257343570429E-2</v>
      </c>
      <c r="H23" s="280">
        <f t="shared" si="0"/>
        <v>-3.9050483169207902E-2</v>
      </c>
      <c r="I23" s="280">
        <f t="shared" si="1"/>
        <v>-9.0632258256374727E-3</v>
      </c>
      <c r="K23" s="430"/>
    </row>
    <row r="24" spans="1:11">
      <c r="A24" s="117">
        <v>1982</v>
      </c>
      <c r="B24" s="280">
        <v>5.7125618680690375E-2</v>
      </c>
      <c r="C24" s="280">
        <v>-7.9667982739301535E-3</v>
      </c>
      <c r="D24" s="280">
        <v>8.2048398921169309E-3</v>
      </c>
      <c r="E24" s="280">
        <f t="shared" si="2"/>
        <v>5.7363660298877156E-2</v>
      </c>
      <c r="F24" s="280"/>
      <c r="G24" s="355">
        <v>1.1159826291363382E-2</v>
      </c>
      <c r="H24" s="280">
        <f t="shared" si="0"/>
        <v>4.6203834007513774E-2</v>
      </c>
      <c r="I24" s="280">
        <f t="shared" si="1"/>
        <v>5.7363660298877156E-2</v>
      </c>
      <c r="K24" s="430"/>
    </row>
    <row r="25" spans="1:11">
      <c r="A25" s="117">
        <v>1983</v>
      </c>
      <c r="B25" s="280">
        <v>0.10853616343278621</v>
      </c>
      <c r="C25" s="280">
        <v>1.5484181013626405E-2</v>
      </c>
      <c r="D25" s="280">
        <v>1.07503125681504E-2</v>
      </c>
      <c r="E25" s="280">
        <f t="shared" si="2"/>
        <v>0.13477065701456303</v>
      </c>
      <c r="F25" s="280"/>
      <c r="G25" s="355">
        <v>5.2643284437978277E-2</v>
      </c>
      <c r="H25" s="280">
        <f t="shared" si="0"/>
        <v>8.2127372576584756E-2</v>
      </c>
      <c r="I25" s="280">
        <f t="shared" si="1"/>
        <v>0.13477065701456303</v>
      </c>
      <c r="K25" s="430"/>
    </row>
    <row r="26" spans="1:11">
      <c r="A26" s="117">
        <v>1984</v>
      </c>
      <c r="B26" s="280">
        <v>4.9407682552534825E-2</v>
      </c>
      <c r="C26" s="280">
        <v>-6.1264056544320239E-3</v>
      </c>
      <c r="D26" s="280">
        <v>3.1923658099887731E-2</v>
      </c>
      <c r="E26" s="280">
        <f t="shared" si="2"/>
        <v>7.5204934997990525E-2</v>
      </c>
      <c r="F26" s="280"/>
      <c r="G26" s="355">
        <v>7.9750207562674771E-2</v>
      </c>
      <c r="H26" s="280">
        <f t="shared" si="0"/>
        <v>-4.5452725646842468E-3</v>
      </c>
      <c r="I26" s="280">
        <f t="shared" si="1"/>
        <v>7.5204934997990525E-2</v>
      </c>
      <c r="K26" s="430"/>
    </row>
    <row r="27" spans="1:11">
      <c r="A27" s="117">
        <v>1985</v>
      </c>
      <c r="B27" s="280">
        <v>1.2224871727259688E-2</v>
      </c>
      <c r="C27" s="280">
        <v>-1.1420453533956806E-2</v>
      </c>
      <c r="D27" s="280">
        <v>2.6978993631846988E-2</v>
      </c>
      <c r="E27" s="280">
        <f t="shared" si="2"/>
        <v>2.7783411825149869E-2</v>
      </c>
      <c r="F27" s="280"/>
      <c r="G27" s="355">
        <v>4.7965811282529275E-2</v>
      </c>
      <c r="H27" s="280">
        <f t="shared" si="0"/>
        <v>-2.0182399457379405E-2</v>
      </c>
      <c r="I27" s="280">
        <f t="shared" si="1"/>
        <v>2.7783411825149869E-2</v>
      </c>
      <c r="K27" s="430"/>
    </row>
    <row r="28" spans="1:11">
      <c r="A28" s="117">
        <v>1986</v>
      </c>
      <c r="B28" s="280">
        <v>5.9470575961963111E-2</v>
      </c>
      <c r="C28" s="280">
        <v>3.2290533242065184E-3</v>
      </c>
      <c r="D28" s="280">
        <v>2.5514610097380493E-2</v>
      </c>
      <c r="E28" s="280">
        <f t="shared" si="2"/>
        <v>8.8214239383550108E-2</v>
      </c>
      <c r="F28" s="280"/>
      <c r="G28" s="355">
        <v>3.1219422971784122E-2</v>
      </c>
      <c r="H28" s="280">
        <f t="shared" si="0"/>
        <v>5.6994816411765986E-2</v>
      </c>
      <c r="I28" s="280">
        <f t="shared" si="1"/>
        <v>8.8214239383550108E-2</v>
      </c>
      <c r="K28" s="430"/>
    </row>
    <row r="29" spans="1:11">
      <c r="A29" s="117">
        <v>1987</v>
      </c>
      <c r="B29" s="280">
        <v>9.5347970233038027E-3</v>
      </c>
      <c r="C29" s="280">
        <v>6.633658452361163E-4</v>
      </c>
      <c r="D29" s="280">
        <v>3.3452563935403107E-2</v>
      </c>
      <c r="E29" s="280">
        <f t="shared" si="2"/>
        <v>4.3650726803943024E-2</v>
      </c>
      <c r="F29" s="280"/>
      <c r="G29" s="355">
        <v>1.1496706780571467E-2</v>
      </c>
      <c r="H29" s="280">
        <f t="shared" si="0"/>
        <v>3.215402002337156E-2</v>
      </c>
      <c r="I29" s="280">
        <f t="shared" si="1"/>
        <v>4.3650726803943024E-2</v>
      </c>
      <c r="K29" s="430"/>
    </row>
    <row r="30" spans="1:11">
      <c r="A30" s="117">
        <v>1988</v>
      </c>
      <c r="B30" s="280">
        <v>-6.5634514431748933E-2</v>
      </c>
      <c r="C30" s="280">
        <v>-1.0351083663226207E-2</v>
      </c>
      <c r="D30" s="280">
        <v>2.189957420681448E-2</v>
      </c>
      <c r="E30" s="280">
        <f t="shared" si="2"/>
        <v>-5.408602388816066E-2</v>
      </c>
      <c r="F30" s="280"/>
      <c r="G30" s="355">
        <v>2.2936929130865535E-2</v>
      </c>
      <c r="H30" s="280">
        <f t="shared" si="0"/>
        <v>-7.7022953019026202E-2</v>
      </c>
      <c r="I30" s="280">
        <f t="shared" si="1"/>
        <v>-5.4086023888160667E-2</v>
      </c>
      <c r="K30" s="430"/>
    </row>
    <row r="31" spans="1:11">
      <c r="A31" s="117">
        <v>1989</v>
      </c>
      <c r="B31" s="280">
        <v>-9.9863445887190296E-3</v>
      </c>
      <c r="C31" s="280">
        <v>-1.0542688488984847E-2</v>
      </c>
      <c r="D31" s="280">
        <v>2.8147997829765684E-2</v>
      </c>
      <c r="E31" s="280">
        <f t="shared" si="2"/>
        <v>7.6189647520618076E-3</v>
      </c>
      <c r="F31" s="280"/>
      <c r="G31" s="355">
        <v>4.035281154167002E-3</v>
      </c>
      <c r="H31" s="280">
        <f t="shared" si="0"/>
        <v>3.5836835978948055E-3</v>
      </c>
      <c r="I31" s="280">
        <f t="shared" si="1"/>
        <v>7.6189647520618076E-3</v>
      </c>
      <c r="K31" s="430"/>
    </row>
    <row r="32" spans="1:11">
      <c r="A32" s="117">
        <v>1990</v>
      </c>
      <c r="B32" s="280">
        <v>-0.10983237849501723</v>
      </c>
      <c r="C32" s="280">
        <v>-1.4656627569595126E-2</v>
      </c>
      <c r="D32" s="280">
        <v>3.0927005116881533E-2</v>
      </c>
      <c r="E32" s="280">
        <f t="shared" si="2"/>
        <v>-9.3562000947730817E-2</v>
      </c>
      <c r="F32" s="280"/>
      <c r="G32" s="355">
        <v>-5.151015390596235E-2</v>
      </c>
      <c r="H32" s="280">
        <f t="shared" si="0"/>
        <v>-4.2051847041768467E-2</v>
      </c>
      <c r="I32" s="280">
        <f t="shared" si="1"/>
        <v>-9.3562000947730817E-2</v>
      </c>
      <c r="K32" s="430"/>
    </row>
    <row r="33" spans="1:11">
      <c r="A33" s="117">
        <v>1991</v>
      </c>
      <c r="B33" s="280">
        <v>-1.5924107968293796E-2</v>
      </c>
      <c r="C33" s="280">
        <v>-3.8289264244923821E-3</v>
      </c>
      <c r="D33" s="280">
        <v>1.0610143675904975E-2</v>
      </c>
      <c r="E33" s="280">
        <f t="shared" si="2"/>
        <v>-9.1428907168812027E-3</v>
      </c>
      <c r="F33" s="280"/>
      <c r="G33" s="355">
        <v>-1.8305075787229504E-2</v>
      </c>
      <c r="H33" s="280">
        <f t="shared" si="0"/>
        <v>9.1621850703483016E-3</v>
      </c>
      <c r="I33" s="280">
        <f t="shared" si="1"/>
        <v>-9.1428907168812027E-3</v>
      </c>
      <c r="K33" s="430"/>
    </row>
    <row r="34" spans="1:11">
      <c r="A34" s="117">
        <v>1992</v>
      </c>
      <c r="B34" s="280">
        <v>-6.9461878659942591E-2</v>
      </c>
      <c r="C34" s="280">
        <v>9.7094365876384259E-3</v>
      </c>
      <c r="D34" s="280">
        <v>1.2283083990338856E-2</v>
      </c>
      <c r="E34" s="280">
        <f t="shared" si="2"/>
        <v>-4.7469358081965313E-2</v>
      </c>
      <c r="F34" s="280"/>
      <c r="G34" s="355">
        <v>-1.932245543446399E-3</v>
      </c>
      <c r="H34" s="280">
        <f t="shared" si="0"/>
        <v>-4.5537112538518915E-2</v>
      </c>
      <c r="I34" s="280">
        <f t="shared" si="1"/>
        <v>-4.7469358081965313E-2</v>
      </c>
      <c r="K34" s="430"/>
    </row>
    <row r="35" spans="1:11">
      <c r="A35" s="117">
        <v>1993</v>
      </c>
      <c r="B35" s="280">
        <v>-1.3763623460019227E-2</v>
      </c>
      <c r="C35" s="280">
        <v>-7.0052493455909082E-4</v>
      </c>
      <c r="D35" s="280">
        <v>1.7517419487520041E-2</v>
      </c>
      <c r="E35" s="280">
        <f t="shared" si="2"/>
        <v>3.0532710929417235E-3</v>
      </c>
      <c r="F35" s="280"/>
      <c r="G35" s="355">
        <v>-1.5769576859947898E-2</v>
      </c>
      <c r="H35" s="280">
        <f t="shared" si="0"/>
        <v>1.8822847952889622E-2</v>
      </c>
      <c r="I35" s="280">
        <f t="shared" si="1"/>
        <v>3.0532710929417235E-3</v>
      </c>
      <c r="K35" s="430"/>
    </row>
    <row r="36" spans="1:11">
      <c r="A36" s="117">
        <v>1994</v>
      </c>
      <c r="B36" s="280">
        <v>-8.2504889222593421E-3</v>
      </c>
      <c r="C36" s="280">
        <v>6.233067811927645E-3</v>
      </c>
      <c r="D36" s="280">
        <v>1.6427513273769595E-2</v>
      </c>
      <c r="E36" s="280">
        <f t="shared" si="2"/>
        <v>1.4410092163437898E-2</v>
      </c>
      <c r="F36" s="280"/>
      <c r="G36" s="355">
        <v>-2.8638307173549669E-2</v>
      </c>
      <c r="H36" s="280">
        <f t="shared" ref="H36:H57" si="3">E36-(G36)</f>
        <v>4.3048399336987564E-2</v>
      </c>
      <c r="I36" s="280">
        <f t="shared" ref="I36:I57" si="4">SUM(G36:H36)</f>
        <v>1.4410092163437895E-2</v>
      </c>
      <c r="K36" s="430"/>
    </row>
    <row r="37" spans="1:11">
      <c r="A37" s="117">
        <v>1995</v>
      </c>
      <c r="B37" s="280">
        <v>5.9749550704232927E-3</v>
      </c>
      <c r="C37" s="280">
        <v>3.2749872924294626E-3</v>
      </c>
      <c r="D37" s="280">
        <v>1.3704966510492729E-2</v>
      </c>
      <c r="E37" s="280">
        <f t="shared" si="2"/>
        <v>2.2954908873345482E-2</v>
      </c>
      <c r="F37" s="280"/>
      <c r="G37" s="355">
        <v>-1.0881186050815981E-2</v>
      </c>
      <c r="H37" s="280">
        <f t="shared" si="3"/>
        <v>3.3836094924161467E-2</v>
      </c>
      <c r="I37" s="280">
        <f t="shared" si="4"/>
        <v>2.2954908873345486E-2</v>
      </c>
      <c r="K37" s="430"/>
    </row>
    <row r="38" spans="1:11">
      <c r="A38" s="117">
        <v>1996</v>
      </c>
      <c r="B38" s="280">
        <v>-7.5734334959832216E-3</v>
      </c>
      <c r="C38" s="280">
        <v>-8.1917300061040699E-3</v>
      </c>
      <c r="D38" s="280">
        <v>8.3437977899833687E-3</v>
      </c>
      <c r="E38" s="280">
        <f t="shared" si="2"/>
        <v>-7.4213657121039219E-3</v>
      </c>
      <c r="F38" s="280"/>
      <c r="G38" s="355">
        <v>-9.5165306882831497E-3</v>
      </c>
      <c r="H38" s="280">
        <f t="shared" si="3"/>
        <v>2.0951649761792278E-3</v>
      </c>
      <c r="I38" s="280">
        <f t="shared" si="4"/>
        <v>-7.4213657121039219E-3</v>
      </c>
      <c r="K38" s="430"/>
    </row>
    <row r="39" spans="1:11">
      <c r="A39" s="117">
        <v>1997</v>
      </c>
      <c r="B39" s="280">
        <v>2.7606559905471201E-4</v>
      </c>
      <c r="C39" s="280">
        <v>-2.0910061035459004E-4</v>
      </c>
      <c r="D39" s="280">
        <v>8.1815786758147029E-3</v>
      </c>
      <c r="E39" s="280">
        <f t="shared" si="2"/>
        <v>8.2485436645148257E-3</v>
      </c>
      <c r="F39" s="280"/>
      <c r="G39" s="355">
        <v>8.2047687506990336E-3</v>
      </c>
      <c r="H39" s="280">
        <f t="shared" si="3"/>
        <v>4.377491381579203E-5</v>
      </c>
      <c r="I39" s="280">
        <f t="shared" si="4"/>
        <v>8.2485436645148257E-3</v>
      </c>
      <c r="K39" s="430"/>
    </row>
    <row r="40" spans="1:11">
      <c r="A40" s="117">
        <v>1998</v>
      </c>
      <c r="B40" s="280">
        <v>1.7841784936082444E-2</v>
      </c>
      <c r="C40" s="280">
        <v>-3.6352694890445653E-3</v>
      </c>
      <c r="D40" s="280">
        <v>1.0831382985847151E-2</v>
      </c>
      <c r="E40" s="280">
        <f t="shared" si="2"/>
        <v>2.5037898432885029E-2</v>
      </c>
      <c r="F40" s="280"/>
      <c r="G40" s="355">
        <v>-1.623705056788332E-2</v>
      </c>
      <c r="H40" s="280">
        <f t="shared" si="3"/>
        <v>4.1274949000768349E-2</v>
      </c>
      <c r="I40" s="280">
        <f t="shared" si="4"/>
        <v>2.5037898432885029E-2</v>
      </c>
      <c r="K40" s="430"/>
    </row>
    <row r="41" spans="1:11">
      <c r="A41" s="117">
        <v>1999</v>
      </c>
      <c r="B41" s="280">
        <v>6.2870148703513748E-2</v>
      </c>
      <c r="C41" s="280">
        <v>9.2753640442344576E-4</v>
      </c>
      <c r="D41" s="280">
        <v>3.0797955242098515E-3</v>
      </c>
      <c r="E41" s="280">
        <f t="shared" si="2"/>
        <v>6.6877480632147046E-2</v>
      </c>
      <c r="F41" s="280"/>
      <c r="G41" s="355">
        <v>2.9767768409876855E-2</v>
      </c>
      <c r="H41" s="280">
        <f t="shared" si="3"/>
        <v>3.7109712222270191E-2</v>
      </c>
      <c r="I41" s="280">
        <f t="shared" si="4"/>
        <v>6.6877480632147046E-2</v>
      </c>
      <c r="K41" s="430"/>
    </row>
    <row r="42" spans="1:11">
      <c r="A42" s="117">
        <v>2000</v>
      </c>
      <c r="B42" s="280">
        <v>1.1817289710687002E-2</v>
      </c>
      <c r="C42" s="280">
        <v>-7.9596053561067914E-3</v>
      </c>
      <c r="D42" s="280">
        <v>4.7186133789233423E-3</v>
      </c>
      <c r="E42" s="280">
        <f t="shared" si="2"/>
        <v>8.5762977335035531E-3</v>
      </c>
      <c r="F42" s="280"/>
      <c r="G42" s="355">
        <v>2.9896557785467636E-2</v>
      </c>
      <c r="H42" s="280">
        <f t="shared" si="3"/>
        <v>-2.1320260051964083E-2</v>
      </c>
      <c r="I42" s="280">
        <f t="shared" si="4"/>
        <v>8.5762977335035531E-3</v>
      </c>
      <c r="K42" s="430"/>
    </row>
    <row r="43" spans="1:11">
      <c r="A43" s="117">
        <v>2001</v>
      </c>
      <c r="B43" s="280">
        <v>-2.191961364642885E-3</v>
      </c>
      <c r="C43" s="280">
        <v>-2.9344608592270921E-3</v>
      </c>
      <c r="D43" s="280">
        <v>5.1324737454704174E-3</v>
      </c>
      <c r="E43" s="280">
        <f t="shared" si="2"/>
        <v>6.0515216004407638E-6</v>
      </c>
      <c r="F43" s="280"/>
      <c r="G43" s="355">
        <v>-9.1643245338288697E-3</v>
      </c>
      <c r="H43" s="280">
        <f t="shared" si="3"/>
        <v>9.1703760554293114E-3</v>
      </c>
      <c r="I43" s="280">
        <f t="shared" si="4"/>
        <v>6.0515216004416311E-6</v>
      </c>
      <c r="K43" s="430"/>
    </row>
    <row r="44" spans="1:11">
      <c r="A44" s="117">
        <v>2002</v>
      </c>
      <c r="B44" s="280">
        <v>1.969423782142761E-2</v>
      </c>
      <c r="C44" s="280">
        <v>-1.0143324751888304E-2</v>
      </c>
      <c r="D44" s="280">
        <v>9.0314349576491228E-3</v>
      </c>
      <c r="E44" s="280">
        <f t="shared" si="2"/>
        <v>1.8582348027188431E-2</v>
      </c>
      <c r="F44" s="280"/>
      <c r="G44" s="355">
        <v>2.2325506519128763E-2</v>
      </c>
      <c r="H44" s="280">
        <f t="shared" si="3"/>
        <v>-3.7431584919403321E-3</v>
      </c>
      <c r="I44" s="280">
        <f t="shared" si="4"/>
        <v>1.8582348027188431E-2</v>
      </c>
      <c r="K44" s="430"/>
    </row>
    <row r="45" spans="1:11">
      <c r="A45" s="117">
        <v>2003</v>
      </c>
      <c r="B45" s="280">
        <v>6.0460901287227474E-4</v>
      </c>
      <c r="C45" s="280">
        <v>2.113276071423862E-2</v>
      </c>
      <c r="D45" s="280">
        <v>7.4705260460643137E-3</v>
      </c>
      <c r="E45" s="280">
        <f t="shared" si="2"/>
        <v>2.9207895773175209E-2</v>
      </c>
      <c r="F45" s="280"/>
      <c r="G45" s="355">
        <v>-9.2490258624493647E-3</v>
      </c>
      <c r="H45" s="280">
        <f t="shared" si="3"/>
        <v>3.8456921635624572E-2</v>
      </c>
      <c r="I45" s="280">
        <f t="shared" si="4"/>
        <v>2.9207895773175209E-2</v>
      </c>
      <c r="K45" s="430"/>
    </row>
    <row r="46" spans="1:11">
      <c r="A46" s="117">
        <v>2004</v>
      </c>
      <c r="B46" s="280">
        <v>-4.5591818124527589E-2</v>
      </c>
      <c r="C46" s="280">
        <v>2.8018435536893288E-3</v>
      </c>
      <c r="D46" s="280">
        <v>5.340278407279765E-3</v>
      </c>
      <c r="E46" s="280">
        <f t="shared" si="2"/>
        <v>-3.7449696163558498E-2</v>
      </c>
      <c r="F46" s="280"/>
      <c r="G46" s="355">
        <v>-2.0033953434266102E-2</v>
      </c>
      <c r="H46" s="280">
        <f t="shared" si="3"/>
        <v>-1.7415742729292395E-2</v>
      </c>
      <c r="I46" s="280">
        <f t="shared" si="4"/>
        <v>-3.7449696163558498E-2</v>
      </c>
      <c r="K46" s="430"/>
    </row>
    <row r="47" spans="1:11">
      <c r="A47" s="117">
        <v>2005</v>
      </c>
      <c r="B47" s="280">
        <v>-4.018002404850806E-2</v>
      </c>
      <c r="C47" s="280">
        <v>-6.0099850460981347E-3</v>
      </c>
      <c r="D47" s="280">
        <v>9.1990920346340342E-3</v>
      </c>
      <c r="E47" s="280">
        <f t="shared" si="2"/>
        <v>-3.6990917059972164E-2</v>
      </c>
      <c r="F47" s="280"/>
      <c r="G47" s="355">
        <v>-1.30370362521035E-2</v>
      </c>
      <c r="H47" s="280">
        <f t="shared" si="3"/>
        <v>-2.3953880807868665E-2</v>
      </c>
      <c r="I47" s="280">
        <f t="shared" si="4"/>
        <v>-3.6990917059972164E-2</v>
      </c>
      <c r="K47" s="430"/>
    </row>
    <row r="48" spans="1:11">
      <c r="A48" s="117">
        <v>2006</v>
      </c>
      <c r="B48" s="280">
        <v>-1.6468868539083827E-2</v>
      </c>
      <c r="C48" s="280">
        <v>1.2487325891835099E-3</v>
      </c>
      <c r="D48" s="280">
        <v>1.1923975386202147E-2</v>
      </c>
      <c r="E48" s="280">
        <f t="shared" si="2"/>
        <v>-3.2961605636981708E-3</v>
      </c>
      <c r="F48" s="280"/>
      <c r="G48" s="355">
        <v>-1.9905876196580151E-2</v>
      </c>
      <c r="H48" s="280">
        <f t="shared" si="3"/>
        <v>1.660971563288198E-2</v>
      </c>
      <c r="I48" s="280">
        <f t="shared" si="4"/>
        <v>-3.2961605636981708E-3</v>
      </c>
      <c r="K48" s="430"/>
    </row>
    <row r="49" spans="1:11">
      <c r="A49" s="117">
        <v>2007</v>
      </c>
      <c r="B49" s="280">
        <v>-2.4059529194517308E-2</v>
      </c>
      <c r="C49" s="280">
        <v>1.3453397111602414E-2</v>
      </c>
      <c r="D49" s="280">
        <v>8.3691135450840674E-3</v>
      </c>
      <c r="E49" s="280">
        <f t="shared" si="2"/>
        <v>-2.2370185378308271E-3</v>
      </c>
      <c r="F49" s="280"/>
      <c r="G49" s="355">
        <v>-1.7102052341623791E-2</v>
      </c>
      <c r="H49" s="280">
        <f t="shared" si="3"/>
        <v>1.4865033803792964E-2</v>
      </c>
      <c r="I49" s="280">
        <f t="shared" si="4"/>
        <v>-2.2370185378308271E-3</v>
      </c>
      <c r="K49" s="430"/>
    </row>
    <row r="50" spans="1:11">
      <c r="A50" s="117">
        <v>2008</v>
      </c>
      <c r="B50" s="280">
        <v>-5.9863466906173272E-3</v>
      </c>
      <c r="C50" s="280">
        <v>1.0601917844805797E-3</v>
      </c>
      <c r="D50" s="280">
        <v>1.1696573622548317E-2</v>
      </c>
      <c r="E50" s="280">
        <f t="shared" si="2"/>
        <v>6.7704187164115692E-3</v>
      </c>
      <c r="F50" s="280"/>
      <c r="G50" s="355">
        <v>-2.9073278303367717E-2</v>
      </c>
      <c r="H50" s="280">
        <f t="shared" si="3"/>
        <v>3.5843697019779283E-2</v>
      </c>
      <c r="I50" s="280">
        <f t="shared" si="4"/>
        <v>6.7704187164115658E-3</v>
      </c>
      <c r="K50" s="430"/>
    </row>
    <row r="51" spans="1:11">
      <c r="A51" s="117">
        <v>2009</v>
      </c>
      <c r="B51" s="280">
        <v>-1.5660562680784454E-4</v>
      </c>
      <c r="C51" s="280">
        <v>3.4075699503982773E-2</v>
      </c>
      <c r="D51" s="280">
        <v>-2.1015875015778082E-3</v>
      </c>
      <c r="E51" s="280">
        <f t="shared" si="2"/>
        <v>3.1817506375597118E-2</v>
      </c>
      <c r="F51" s="280"/>
      <c r="G51" s="355">
        <v>4.7033269491675717E-3</v>
      </c>
      <c r="H51" s="280">
        <f t="shared" si="3"/>
        <v>2.7114179426429547E-2</v>
      </c>
      <c r="I51" s="280">
        <f t="shared" si="4"/>
        <v>3.1817506375597118E-2</v>
      </c>
      <c r="K51" s="430"/>
    </row>
    <row r="52" spans="1:11">
      <c r="A52" s="117">
        <v>2010</v>
      </c>
      <c r="B52" s="280">
        <v>-1.6258867576742383E-2</v>
      </c>
      <c r="C52" s="280">
        <v>-2.0203431365306987E-2</v>
      </c>
      <c r="D52" s="280">
        <v>2.2508710371731151E-2</v>
      </c>
      <c r="E52" s="280">
        <f t="shared" si="2"/>
        <v>-1.3953588570318223E-2</v>
      </c>
      <c r="F52" s="280"/>
      <c r="G52" s="355">
        <v>-7.7458250747716615E-3</v>
      </c>
      <c r="H52" s="280">
        <f t="shared" si="3"/>
        <v>-6.2077634955465611E-3</v>
      </c>
      <c r="I52" s="280">
        <f t="shared" si="4"/>
        <v>-1.3953588570318223E-2</v>
      </c>
      <c r="K52" s="430"/>
    </row>
    <row r="53" spans="1:11">
      <c r="A53" s="117">
        <v>2011</v>
      </c>
      <c r="B53" s="280">
        <v>-1.3316612489383015E-2</v>
      </c>
      <c r="C53" s="280">
        <v>2.0337195200733765E-3</v>
      </c>
      <c r="D53" s="280">
        <v>9.3863116533591268E-3</v>
      </c>
      <c r="E53" s="280">
        <f t="shared" si="2"/>
        <v>-1.8965813159505119E-3</v>
      </c>
      <c r="F53" s="280"/>
      <c r="G53" s="355">
        <v>-1.2932474096764748E-2</v>
      </c>
      <c r="H53" s="280">
        <f t="shared" si="3"/>
        <v>1.1035892780814236E-2</v>
      </c>
      <c r="I53" s="280">
        <f t="shared" si="4"/>
        <v>-1.8965813159505119E-3</v>
      </c>
      <c r="K53" s="430"/>
    </row>
    <row r="54" spans="1:11">
      <c r="A54" s="117">
        <v>2012</v>
      </c>
      <c r="B54" s="280">
        <v>-2.0956761847762732E-3</v>
      </c>
      <c r="C54" s="280">
        <v>1.4635595095278772E-2</v>
      </c>
      <c r="D54" s="280">
        <v>2.8870534066370076E-3</v>
      </c>
      <c r="E54" s="280">
        <f t="shared" si="2"/>
        <v>1.5426972317139506E-2</v>
      </c>
      <c r="F54" s="280"/>
      <c r="G54" s="355">
        <v>1.5984753187422075E-2</v>
      </c>
      <c r="H54" s="280">
        <f t="shared" si="3"/>
        <v>-5.5778087028256901E-4</v>
      </c>
      <c r="I54" s="280">
        <f t="shared" si="4"/>
        <v>1.5426972317139506E-2</v>
      </c>
      <c r="K54" s="430"/>
    </row>
    <row r="55" spans="1:11">
      <c r="A55" s="117">
        <v>2013</v>
      </c>
      <c r="B55" s="280">
        <v>3.4443754216550498E-3</v>
      </c>
      <c r="C55" s="280">
        <v>-1.9702199769829204E-2</v>
      </c>
      <c r="D55" s="280">
        <v>1.9501268618452056E-2</v>
      </c>
      <c r="E55" s="280">
        <f t="shared" si="2"/>
        <v>3.2434442702779023E-3</v>
      </c>
      <c r="F55" s="280"/>
      <c r="G55" s="355">
        <v>1.9147828182758442E-2</v>
      </c>
      <c r="H55" s="280">
        <f t="shared" si="3"/>
        <v>-1.590438391248054E-2</v>
      </c>
      <c r="I55" s="280">
        <f t="shared" si="4"/>
        <v>3.2434442702779023E-3</v>
      </c>
      <c r="K55" s="430"/>
    </row>
    <row r="56" spans="1:11">
      <c r="A56" s="117">
        <v>2014</v>
      </c>
      <c r="B56" s="280">
        <v>3.4830587822603398E-2</v>
      </c>
      <c r="C56" s="280">
        <v>6.9259040088752444E-4</v>
      </c>
      <c r="D56" s="280">
        <v>8.8043534085367088E-3</v>
      </c>
      <c r="E56" s="280">
        <f t="shared" si="2"/>
        <v>4.4327531632027628E-2</v>
      </c>
      <c r="G56" s="355">
        <v>1.4762325994649831E-2</v>
      </c>
      <c r="H56" s="280">
        <f t="shared" si="3"/>
        <v>2.9565205637377797E-2</v>
      </c>
      <c r="I56" s="280">
        <f t="shared" si="4"/>
        <v>4.4327531632027628E-2</v>
      </c>
      <c r="K56" s="430"/>
    </row>
    <row r="57" spans="1:11">
      <c r="A57" s="117">
        <v>2015</v>
      </c>
      <c r="B57" s="280">
        <v>1.4355268087399755E-2</v>
      </c>
      <c r="C57" s="280">
        <v>-1.9896929717680423E-4</v>
      </c>
      <c r="D57" s="280">
        <v>6.1425577258547113E-3</v>
      </c>
      <c r="E57" s="280">
        <f t="shared" si="2"/>
        <v>2.0298856516077664E-2</v>
      </c>
      <c r="G57" s="355">
        <v>6.9075820385094931E-3</v>
      </c>
      <c r="H57" s="280">
        <f t="shared" si="3"/>
        <v>1.3391274477568171E-2</v>
      </c>
      <c r="I57" s="280">
        <f t="shared" si="4"/>
        <v>2.0298856516077664E-2</v>
      </c>
      <c r="K57" s="430"/>
    </row>
    <row r="58" spans="1:11">
      <c r="A58" s="117">
        <v>2016</v>
      </c>
      <c r="B58" s="280">
        <v>2.4887566558097027E-2</v>
      </c>
      <c r="C58" s="280">
        <v>-2.7630388751153367E-3</v>
      </c>
      <c r="D58" s="280">
        <v>7.9174114556988875E-3</v>
      </c>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1"/>
  <sheetViews>
    <sheetView zoomScale="85" zoomScaleNormal="85" zoomScalePageLayoutView="40" workbookViewId="0"/>
  </sheetViews>
  <sheetFormatPr defaultColWidth="11.44140625" defaultRowHeight="12"/>
  <cols>
    <col min="1" max="1" width="11.44140625" style="303" customWidth="1"/>
    <col min="2" max="2" width="6.109375" style="303" bestFit="1" customWidth="1"/>
    <col min="3" max="9" width="12.33203125" style="303" customWidth="1"/>
    <col min="10" max="15" width="11.44140625" style="303"/>
    <col min="16" max="16" width="11.44140625" style="303" customWidth="1"/>
    <col min="17" max="16384" width="11.44140625" style="303"/>
  </cols>
  <sheetData>
    <row r="1" spans="2:12" ht="36.6" customHeight="1">
      <c r="K1" s="350"/>
      <c r="L1" s="349"/>
    </row>
    <row r="2" spans="2:12" ht="66.599999999999994" thickBot="1">
      <c r="B2" s="382"/>
      <c r="C2" s="415" t="s">
        <v>592</v>
      </c>
      <c r="D2" s="415" t="s">
        <v>585</v>
      </c>
      <c r="E2" s="415" t="s">
        <v>586</v>
      </c>
      <c r="F2" s="415" t="s">
        <v>582</v>
      </c>
      <c r="G2" s="415" t="s">
        <v>582</v>
      </c>
      <c r="H2" s="415" t="s">
        <v>600</v>
      </c>
      <c r="I2" s="415" t="s">
        <v>601</v>
      </c>
      <c r="K2" s="346"/>
      <c r="L2" s="304"/>
    </row>
    <row r="3" spans="2:12" ht="27.6" thickTop="1" thickBot="1">
      <c r="B3" s="382" t="s">
        <v>563</v>
      </c>
      <c r="C3" s="423" t="s">
        <v>591</v>
      </c>
      <c r="D3" s="423" t="s">
        <v>588</v>
      </c>
      <c r="E3" s="423" t="s">
        <v>587</v>
      </c>
      <c r="F3" s="423" t="s">
        <v>580</v>
      </c>
      <c r="G3" s="423" t="s">
        <v>591</v>
      </c>
      <c r="H3" s="423" t="s">
        <v>568</v>
      </c>
      <c r="I3" s="423" t="s">
        <v>466</v>
      </c>
      <c r="K3" s="350"/>
      <c r="L3" s="90"/>
    </row>
    <row r="4" spans="2:12" ht="12.6" thickTop="1">
      <c r="B4" s="416">
        <v>1960</v>
      </c>
      <c r="C4" s="299">
        <v>2234665.2185439151</v>
      </c>
      <c r="D4" s="310">
        <v>0.26540284360189575</v>
      </c>
      <c r="E4" s="299"/>
      <c r="F4" s="304"/>
      <c r="G4" s="304"/>
      <c r="H4" s="304"/>
      <c r="I4" s="304"/>
    </row>
    <row r="5" spans="2:12">
      <c r="B5" s="416">
        <v>1961</v>
      </c>
      <c r="C5" s="299">
        <v>2388863.4989098529</v>
      </c>
      <c r="D5" s="310">
        <v>0.26382306477093209</v>
      </c>
      <c r="E5" s="299">
        <f>+RER!G5</f>
        <v>2092.3165610263982</v>
      </c>
      <c r="F5" s="299"/>
      <c r="G5" s="304"/>
      <c r="H5" s="304"/>
      <c r="I5" s="372"/>
      <c r="J5" s="302"/>
    </row>
    <row r="6" spans="2:12">
      <c r="B6" s="416">
        <v>1962</v>
      </c>
      <c r="C6" s="299">
        <v>2467702.1700095898</v>
      </c>
      <c r="D6" s="310">
        <v>0.2646129541864139</v>
      </c>
      <c r="E6" s="299">
        <f>+RER!G6</f>
        <v>2039.0806821394035</v>
      </c>
      <c r="F6" s="299">
        <v>0.46900000000000008</v>
      </c>
      <c r="G6" s="305">
        <f t="shared" ref="G6:G37" si="0">+F6/D5</f>
        <v>1.7777065868263475</v>
      </c>
      <c r="H6" s="373">
        <f t="shared" ref="H6:H60" si="1">+G6*$E$38</f>
        <v>3341.9734948285254</v>
      </c>
      <c r="I6" s="313">
        <f t="shared" ref="I6:I37" si="2">+H6/C6</f>
        <v>1.3542855922582984E-3</v>
      </c>
      <c r="J6" s="302"/>
    </row>
    <row r="7" spans="2:12">
      <c r="B7" s="416">
        <v>1963</v>
      </c>
      <c r="C7" s="299">
        <v>2583938.1315578753</v>
      </c>
      <c r="D7" s="310">
        <v>0.26382306477093209</v>
      </c>
      <c r="E7" s="299">
        <f>+RER!G7</f>
        <v>2013.5998343670776</v>
      </c>
      <c r="F7" s="299">
        <v>1.8940000000000001</v>
      </c>
      <c r="G7" s="305">
        <f t="shared" si="0"/>
        <v>7.1576238805970158</v>
      </c>
      <c r="H7" s="373">
        <f t="shared" si="1"/>
        <v>13455.870317503395</v>
      </c>
      <c r="I7" s="313">
        <f t="shared" si="2"/>
        <v>5.207504836577009E-3</v>
      </c>
      <c r="J7" s="302"/>
    </row>
    <row r="8" spans="2:12">
      <c r="B8" s="416">
        <v>1964</v>
      </c>
      <c r="C8" s="299">
        <v>2692785.940305342</v>
      </c>
      <c r="D8" s="310">
        <v>0.26540284360189575</v>
      </c>
      <c r="E8" s="299">
        <f>+RER!G8</f>
        <v>2184.2110582164382</v>
      </c>
      <c r="F8" s="299">
        <v>5.0289999999999999</v>
      </c>
      <c r="G8" s="305">
        <f t="shared" si="0"/>
        <v>19.062017964071856</v>
      </c>
      <c r="H8" s="373">
        <f t="shared" si="1"/>
        <v>35835.361845400112</v>
      </c>
      <c r="I8" s="313">
        <f t="shared" si="2"/>
        <v>1.3307913306074618E-2</v>
      </c>
      <c r="J8" s="302"/>
    </row>
    <row r="9" spans="2:12">
      <c r="B9" s="416">
        <v>1965</v>
      </c>
      <c r="C9" s="299">
        <v>2858876.2974237306</v>
      </c>
      <c r="D9" s="310">
        <v>0.27409162717219593</v>
      </c>
      <c r="E9" s="299">
        <f>+RER!G9</f>
        <v>2092.3488317537708</v>
      </c>
      <c r="F9" s="299">
        <v>10.747999999999999</v>
      </c>
      <c r="G9" s="305">
        <f t="shared" si="0"/>
        <v>40.496928571428569</v>
      </c>
      <c r="H9" s="373">
        <f t="shared" si="1"/>
        <v>76131.608506493503</v>
      </c>
      <c r="I9" s="313">
        <f t="shared" si="2"/>
        <v>2.6629906503859338E-2</v>
      </c>
      <c r="J9" s="302"/>
    </row>
    <row r="10" spans="2:12">
      <c r="B10" s="416">
        <v>1966</v>
      </c>
      <c r="C10" s="299">
        <v>2915810.9141769381</v>
      </c>
      <c r="D10" s="310">
        <v>0.27962085308056872</v>
      </c>
      <c r="E10" s="299">
        <f>+RER!G10</f>
        <v>1975.5359582037941</v>
      </c>
      <c r="F10" s="299">
        <v>10.77</v>
      </c>
      <c r="G10" s="305">
        <f t="shared" si="0"/>
        <v>39.293429394812676</v>
      </c>
      <c r="H10" s="373">
        <f t="shared" si="1"/>
        <v>73869.107833376998</v>
      </c>
      <c r="I10" s="313">
        <f t="shared" si="2"/>
        <v>2.5333984269768205E-2</v>
      </c>
      <c r="J10" s="302"/>
    </row>
    <row r="11" spans="2:12">
      <c r="B11" s="416">
        <v>1967</v>
      </c>
      <c r="C11" s="299">
        <v>3182618.3198043886</v>
      </c>
      <c r="D11" s="310">
        <v>0.28436018957345971</v>
      </c>
      <c r="E11" s="299">
        <f>+RER!G11</f>
        <v>2072.5163830317379</v>
      </c>
      <c r="F11" s="299">
        <v>11</v>
      </c>
      <c r="G11" s="305">
        <f t="shared" si="0"/>
        <v>39.33898305084746</v>
      </c>
      <c r="H11" s="373">
        <f t="shared" si="1"/>
        <v>73954.745762711871</v>
      </c>
      <c r="I11" s="313">
        <f t="shared" si="2"/>
        <v>2.3237076624148041E-2</v>
      </c>
      <c r="J11" s="302"/>
    </row>
    <row r="12" spans="2:12">
      <c r="B12" s="416">
        <v>1968</v>
      </c>
      <c r="C12" s="299">
        <v>3326697.8012297112</v>
      </c>
      <c r="D12" s="310">
        <v>0.29304897314375988</v>
      </c>
      <c r="E12" s="299">
        <f>+RER!G12</f>
        <v>1975.8416420808028</v>
      </c>
      <c r="F12" s="299">
        <v>9.8569999999999993</v>
      </c>
      <c r="G12" s="305">
        <f t="shared" si="0"/>
        <v>34.663783333333335</v>
      </c>
      <c r="H12" s="373">
        <f t="shared" si="1"/>
        <v>65165.672439393944</v>
      </c>
      <c r="I12" s="313">
        <f t="shared" si="2"/>
        <v>1.9588696158486504E-2</v>
      </c>
      <c r="J12" s="302"/>
    </row>
    <row r="13" spans="2:12">
      <c r="B13" s="416">
        <v>1969</v>
      </c>
      <c r="C13" s="299">
        <v>3483090.9017626471</v>
      </c>
      <c r="D13" s="310">
        <v>0.30726698262243285</v>
      </c>
      <c r="E13" s="299">
        <f>+RER!G13</f>
        <v>2033.9685975833072</v>
      </c>
      <c r="F13" s="299">
        <v>8.91</v>
      </c>
      <c r="G13" s="305">
        <f t="shared" si="0"/>
        <v>30.404474393530997</v>
      </c>
      <c r="H13" s="373">
        <f t="shared" si="1"/>
        <v>57158.446900269548</v>
      </c>
      <c r="I13" s="313">
        <f t="shared" si="2"/>
        <v>1.6410265626815551E-2</v>
      </c>
      <c r="J13" s="302"/>
    </row>
    <row r="14" spans="2:12">
      <c r="B14" s="416">
        <v>1970</v>
      </c>
      <c r="C14" s="299">
        <v>3676521.768305101</v>
      </c>
      <c r="D14" s="310">
        <v>0.31437598736176936</v>
      </c>
      <c r="E14" s="299">
        <f>+RER!G14</f>
        <v>2150.832445716454</v>
      </c>
      <c r="F14" s="299">
        <v>17.296999999999997</v>
      </c>
      <c r="G14" s="305">
        <f t="shared" si="0"/>
        <v>56.293064267352179</v>
      </c>
      <c r="H14" s="373">
        <f t="shared" si="1"/>
        <v>105827.32275297967</v>
      </c>
      <c r="I14" s="313">
        <f t="shared" si="2"/>
        <v>2.8784631078566065E-2</v>
      </c>
      <c r="J14" s="302"/>
    </row>
    <row r="15" spans="2:12">
      <c r="B15" s="416">
        <v>1971</v>
      </c>
      <c r="C15" s="299">
        <v>3880133.1298964876</v>
      </c>
      <c r="D15" s="310">
        <v>0.32464454976303325</v>
      </c>
      <c r="E15" s="299">
        <f>+RER!G15</f>
        <v>2073.6130905196387</v>
      </c>
      <c r="F15" s="299">
        <v>20.247</v>
      </c>
      <c r="G15" s="305">
        <f t="shared" si="0"/>
        <v>64.403773869346736</v>
      </c>
      <c r="H15" s="373">
        <f t="shared" si="1"/>
        <v>121074.93263133852</v>
      </c>
      <c r="I15" s="313">
        <f t="shared" si="2"/>
        <v>3.1203808884405083E-2</v>
      </c>
      <c r="J15" s="302"/>
    </row>
    <row r="16" spans="2:12">
      <c r="B16" s="416">
        <v>1972</v>
      </c>
      <c r="C16" s="299">
        <v>4137436.3002019459</v>
      </c>
      <c r="D16" s="310">
        <v>0.33728278041074256</v>
      </c>
      <c r="E16" s="299">
        <f>+RER!G16</f>
        <v>1943.3701977676417</v>
      </c>
      <c r="F16" s="299">
        <v>30.631999999999998</v>
      </c>
      <c r="G16" s="305">
        <f t="shared" si="0"/>
        <v>94.355503649635011</v>
      </c>
      <c r="H16" s="373">
        <f t="shared" si="1"/>
        <v>177382.24891838085</v>
      </c>
      <c r="I16" s="313">
        <f t="shared" si="2"/>
        <v>4.2872502691998646E-2</v>
      </c>
      <c r="J16" s="302"/>
    </row>
    <row r="17" spans="2:10">
      <c r="B17" s="416">
        <v>1973</v>
      </c>
      <c r="C17" s="299">
        <v>4439585.5323656304</v>
      </c>
      <c r="D17" s="310">
        <v>0.37598736176935232</v>
      </c>
      <c r="E17" s="299">
        <f>+RER!G17</f>
        <v>1783.2649597843558</v>
      </c>
      <c r="F17" s="299">
        <v>53.155999999999999</v>
      </c>
      <c r="G17" s="305">
        <f t="shared" si="0"/>
        <v>157.60069320843087</v>
      </c>
      <c r="H17" s="373">
        <f t="shared" si="1"/>
        <v>296279.11792207789</v>
      </c>
      <c r="I17" s="313">
        <f t="shared" si="2"/>
        <v>6.6735760751118076E-2</v>
      </c>
      <c r="J17" s="302"/>
    </row>
    <row r="18" spans="2:10">
      <c r="B18" s="416">
        <v>1974</v>
      </c>
      <c r="C18" s="299">
        <v>4811690.5231053187</v>
      </c>
      <c r="D18" s="310">
        <v>0.44549763033175355</v>
      </c>
      <c r="E18" s="299">
        <f>+RER!G18</f>
        <v>1643.3591885574017</v>
      </c>
      <c r="F18" s="299">
        <v>83.448999999999998</v>
      </c>
      <c r="G18" s="305">
        <f t="shared" si="0"/>
        <v>221.94628991596636</v>
      </c>
      <c r="H18" s="373">
        <f t="shared" si="1"/>
        <v>417244.68124904507</v>
      </c>
      <c r="I18" s="313">
        <f t="shared" si="2"/>
        <v>8.6714779191527896E-2</v>
      </c>
      <c r="J18" s="302"/>
    </row>
    <row r="19" spans="2:10">
      <c r="B19" s="416">
        <v>1975</v>
      </c>
      <c r="C19" s="299">
        <v>5141408.956048863</v>
      </c>
      <c r="D19" s="310">
        <v>0.47472353870458134</v>
      </c>
      <c r="E19" s="299">
        <f>+RER!G19</f>
        <v>1830.4921296608186</v>
      </c>
      <c r="F19" s="299">
        <v>112.42399999999999</v>
      </c>
      <c r="G19" s="305">
        <f t="shared" si="0"/>
        <v>252.35599999999999</v>
      </c>
      <c r="H19" s="373">
        <f t="shared" si="1"/>
        <v>474412.97090909095</v>
      </c>
      <c r="I19" s="313">
        <f t="shared" si="2"/>
        <v>9.2272949879029662E-2</v>
      </c>
      <c r="J19" s="302"/>
    </row>
    <row r="20" spans="2:10">
      <c r="B20" s="416">
        <v>1976</v>
      </c>
      <c r="C20" s="299">
        <v>5528348.7992478637</v>
      </c>
      <c r="D20" s="310">
        <v>0.49289099526066349</v>
      </c>
      <c r="E20" s="299">
        <f>+RER!G20</f>
        <v>1872.1946767548188</v>
      </c>
      <c r="F20" s="299">
        <v>151.42099999999999</v>
      </c>
      <c r="G20" s="305">
        <f t="shared" si="0"/>
        <v>318.96669883527454</v>
      </c>
      <c r="H20" s="373">
        <f t="shared" si="1"/>
        <v>599636.77984873694</v>
      </c>
      <c r="I20" s="313">
        <f t="shared" si="2"/>
        <v>0.1084658008427974</v>
      </c>
      <c r="J20" s="302"/>
    </row>
    <row r="21" spans="2:10">
      <c r="B21" s="416">
        <v>1977</v>
      </c>
      <c r="C21" s="299">
        <v>6163781.7214908572</v>
      </c>
      <c r="D21" s="310">
        <v>0.52685624012638232</v>
      </c>
      <c r="E21" s="299">
        <f>+RER!G21</f>
        <v>1708.8005845025818</v>
      </c>
      <c r="F21" s="299">
        <v>259.66399999999999</v>
      </c>
      <c r="G21" s="305">
        <f t="shared" si="0"/>
        <v>526.81830769230771</v>
      </c>
      <c r="H21" s="373">
        <f t="shared" si="1"/>
        <v>990384.37160839175</v>
      </c>
      <c r="I21" s="313">
        <f t="shared" si="2"/>
        <v>0.16067804091038509</v>
      </c>
      <c r="J21" s="302"/>
    </row>
    <row r="22" spans="2:10">
      <c r="B22" s="416">
        <v>1978</v>
      </c>
      <c r="C22" s="299">
        <v>6905206.3791843159</v>
      </c>
      <c r="D22" s="310">
        <v>0.57503949447077407</v>
      </c>
      <c r="E22" s="299">
        <f>+RER!G22</f>
        <v>1636.368213335991</v>
      </c>
      <c r="F22" s="299">
        <v>439.02699999999999</v>
      </c>
      <c r="G22" s="305">
        <f t="shared" si="0"/>
        <v>833.29562518740624</v>
      </c>
      <c r="H22" s="373">
        <f t="shared" si="1"/>
        <v>1566541.92169279</v>
      </c>
      <c r="I22" s="313">
        <f t="shared" si="2"/>
        <v>0.22686388149311756</v>
      </c>
      <c r="J22" s="302"/>
    </row>
    <row r="23" spans="2:10">
      <c r="B23" s="416">
        <v>1979</v>
      </c>
      <c r="C23" s="299">
        <v>7724312.1086387523</v>
      </c>
      <c r="D23" s="310">
        <v>0.6492890995260665</v>
      </c>
      <c r="E23" s="299">
        <f>+RER!G23</f>
        <v>1313.3650224948124</v>
      </c>
      <c r="F23" s="299">
        <v>595.45000000000005</v>
      </c>
      <c r="G23" s="305">
        <f t="shared" si="0"/>
        <v>1035.4940934065935</v>
      </c>
      <c r="H23" s="373">
        <f t="shared" si="1"/>
        <v>1946661.9744005997</v>
      </c>
      <c r="I23" s="313">
        <f t="shared" si="2"/>
        <v>0.25201751910354359</v>
      </c>
      <c r="J23" s="302"/>
    </row>
    <row r="24" spans="2:10">
      <c r="B24" s="410">
        <v>1980</v>
      </c>
      <c r="C24" s="299">
        <v>8628994.8158898093</v>
      </c>
      <c r="D24" s="310">
        <v>0.72511848341232232</v>
      </c>
      <c r="E24" s="299">
        <f>+RER!G24</f>
        <v>1258.7938180951719</v>
      </c>
      <c r="F24" s="299">
        <v>748.65</v>
      </c>
      <c r="G24" s="305">
        <f t="shared" si="0"/>
        <v>1153.0302919708026</v>
      </c>
      <c r="H24" s="373">
        <f t="shared" si="1"/>
        <v>2167622.4316522889</v>
      </c>
      <c r="I24" s="313">
        <f t="shared" si="2"/>
        <v>0.25120219421858198</v>
      </c>
      <c r="J24" s="302"/>
    </row>
    <row r="25" spans="2:10">
      <c r="B25" s="416">
        <v>1981</v>
      </c>
      <c r="C25" s="299">
        <v>9420313.2346182</v>
      </c>
      <c r="D25" s="310">
        <v>0.7764612954186414</v>
      </c>
      <c r="E25" s="299">
        <f>+RER!G25</f>
        <v>1434.3878380618864</v>
      </c>
      <c r="F25" s="299">
        <v>780.35199999999998</v>
      </c>
      <c r="G25" s="305">
        <f t="shared" si="0"/>
        <v>1076.1717124183006</v>
      </c>
      <c r="H25" s="373">
        <f t="shared" si="1"/>
        <v>2023133.2692572786</v>
      </c>
      <c r="I25" s="313">
        <f t="shared" si="2"/>
        <v>0.21476284480887275</v>
      </c>
      <c r="J25" s="302"/>
    </row>
    <row r="26" spans="2:10">
      <c r="B26" s="416">
        <v>1982</v>
      </c>
      <c r="C26" s="299">
        <v>9288653.2678140849</v>
      </c>
      <c r="D26" s="310">
        <v>0.80410742496050558</v>
      </c>
      <c r="E26" s="299">
        <f>+RER!G26</f>
        <v>1938.0826870601752</v>
      </c>
      <c r="F26" s="299">
        <v>650.20899999999995</v>
      </c>
      <c r="G26" s="305">
        <f t="shared" si="0"/>
        <v>837.40040081383518</v>
      </c>
      <c r="H26" s="373">
        <f t="shared" si="1"/>
        <v>1574258.6345898455</v>
      </c>
      <c r="I26" s="313">
        <f t="shared" si="2"/>
        <v>0.16948190326414442</v>
      </c>
      <c r="J26" s="302"/>
    </row>
    <row r="27" spans="2:10">
      <c r="B27" s="416">
        <v>1983</v>
      </c>
      <c r="C27" s="299">
        <v>9006035.042173909</v>
      </c>
      <c r="D27" s="310">
        <v>0.80805687203791465</v>
      </c>
      <c r="E27" s="299">
        <f>+RER!G27</f>
        <v>2743.2072336727256</v>
      </c>
      <c r="F27" s="299">
        <v>625.36099999999999</v>
      </c>
      <c r="G27" s="305">
        <f t="shared" si="0"/>
        <v>777.70827701375242</v>
      </c>
      <c r="H27" s="373">
        <f t="shared" si="1"/>
        <v>1462041.2995874265</v>
      </c>
      <c r="I27" s="313">
        <f t="shared" si="2"/>
        <v>0.16234017442091961</v>
      </c>
      <c r="J27" s="302"/>
    </row>
    <row r="28" spans="2:10">
      <c r="B28" s="416">
        <v>1984</v>
      </c>
      <c r="C28" s="299">
        <v>9259698.9753414206</v>
      </c>
      <c r="D28" s="310">
        <v>0.82148499210110582</v>
      </c>
      <c r="E28" s="299">
        <f>+RER!G28</f>
        <v>2570.5783363424357</v>
      </c>
      <c r="F28" s="299">
        <v>516.94399999999996</v>
      </c>
      <c r="G28" s="305">
        <f t="shared" si="0"/>
        <v>639.73714956011725</v>
      </c>
      <c r="H28" s="373">
        <f t="shared" si="1"/>
        <v>1202664.4966782192</v>
      </c>
      <c r="I28" s="313">
        <f t="shared" si="2"/>
        <v>0.12988159765030319</v>
      </c>
      <c r="J28" s="302"/>
    </row>
    <row r="29" spans="2:10">
      <c r="B29" s="416">
        <v>1985</v>
      </c>
      <c r="C29" s="299">
        <v>9678527.7234127894</v>
      </c>
      <c r="D29" s="310">
        <v>0.83728278041074267</v>
      </c>
      <c r="E29" s="299">
        <f>+RER!G29</f>
        <v>3349.9264445196063</v>
      </c>
      <c r="F29" s="299">
        <v>479.75</v>
      </c>
      <c r="G29" s="305">
        <f t="shared" si="0"/>
        <v>584.00336538461545</v>
      </c>
      <c r="H29" s="373">
        <f t="shared" si="1"/>
        <v>1097888.5843531471</v>
      </c>
      <c r="I29" s="313">
        <f t="shared" si="2"/>
        <v>0.11343549512156748</v>
      </c>
      <c r="J29" s="302"/>
    </row>
    <row r="30" spans="2:10">
      <c r="B30" s="416">
        <v>1986</v>
      </c>
      <c r="C30" s="299">
        <v>10159050.719603689</v>
      </c>
      <c r="D30" s="310">
        <v>0.81832543443917838</v>
      </c>
      <c r="E30" s="299">
        <f>+RER!G30</f>
        <v>3155.0842393668631</v>
      </c>
      <c r="F30" s="299">
        <v>397.51600000000002</v>
      </c>
      <c r="G30" s="305">
        <f t="shared" si="0"/>
        <v>474.76910943396217</v>
      </c>
      <c r="H30" s="373">
        <f t="shared" si="1"/>
        <v>892535.24268267571</v>
      </c>
      <c r="I30" s="313">
        <f t="shared" si="2"/>
        <v>8.7856165631732763E-2</v>
      </c>
      <c r="J30" s="302"/>
    </row>
    <row r="31" spans="2:10">
      <c r="B31" s="416">
        <v>1987</v>
      </c>
      <c r="C31" s="299">
        <v>10929340.866968166</v>
      </c>
      <c r="D31" s="310">
        <v>0.83570300157977884</v>
      </c>
      <c r="E31" s="299">
        <f>+RER!G31</f>
        <v>2683.616579969465</v>
      </c>
      <c r="F31" s="299">
        <v>437.31399999999996</v>
      </c>
      <c r="G31" s="305">
        <f t="shared" si="0"/>
        <v>534.40108494208494</v>
      </c>
      <c r="H31" s="373">
        <f t="shared" si="1"/>
        <v>1004639.5027834328</v>
      </c>
      <c r="I31" s="313">
        <f t="shared" si="2"/>
        <v>9.192132581570063E-2</v>
      </c>
      <c r="J31" s="302"/>
    </row>
    <row r="32" spans="2:10">
      <c r="B32" s="416">
        <v>1988</v>
      </c>
      <c r="C32" s="299">
        <v>11575852.043612972</v>
      </c>
      <c r="D32" s="310">
        <v>0.86887835703001581</v>
      </c>
      <c r="E32" s="299">
        <f>+RER!G32</f>
        <v>2710.7019464448599</v>
      </c>
      <c r="F32" s="299">
        <v>304.238</v>
      </c>
      <c r="G32" s="305">
        <f t="shared" si="0"/>
        <v>364.05038563327031</v>
      </c>
      <c r="H32" s="373">
        <f t="shared" si="1"/>
        <v>684391.19739130442</v>
      </c>
      <c r="I32" s="313">
        <f t="shared" si="2"/>
        <v>5.9122317287125338E-2</v>
      </c>
      <c r="J32" s="302"/>
    </row>
    <row r="33" spans="2:10">
      <c r="B33" s="416">
        <v>1989</v>
      </c>
      <c r="C33" s="299">
        <v>12378660.98717171</v>
      </c>
      <c r="D33" s="310">
        <v>0.91232227488151663</v>
      </c>
      <c r="E33" s="299">
        <f>+RER!G33</f>
        <v>2688.7418012787107</v>
      </c>
      <c r="F33" s="299">
        <v>427.90999999999997</v>
      </c>
      <c r="G33" s="305">
        <f t="shared" si="0"/>
        <v>492.48550909090903</v>
      </c>
      <c r="H33" s="373">
        <f t="shared" si="1"/>
        <v>925840.92907438008</v>
      </c>
      <c r="I33" s="313">
        <f t="shared" si="2"/>
        <v>7.479330196003027E-2</v>
      </c>
      <c r="J33" s="302"/>
    </row>
    <row r="34" spans="2:10">
      <c r="B34" s="416">
        <v>1990</v>
      </c>
      <c r="C34" s="299">
        <v>12889068.196377208</v>
      </c>
      <c r="D34" s="310">
        <v>0.9636650868878357</v>
      </c>
      <c r="E34" s="299">
        <f>+RER!G34</f>
        <v>2104.9711240638303</v>
      </c>
      <c r="F34" s="299">
        <v>675</v>
      </c>
      <c r="G34" s="305">
        <f t="shared" si="0"/>
        <v>739.87012987012986</v>
      </c>
      <c r="H34" s="373">
        <f t="shared" si="1"/>
        <v>1390908.0283353012</v>
      </c>
      <c r="I34" s="313">
        <f t="shared" si="2"/>
        <v>0.10791377678692478</v>
      </c>
      <c r="J34" s="302"/>
    </row>
    <row r="35" spans="2:10">
      <c r="B35" s="416">
        <v>1991</v>
      </c>
      <c r="C35" s="299">
        <v>13339367.147406742</v>
      </c>
      <c r="D35" s="310">
        <v>0.96603475513428128</v>
      </c>
      <c r="E35" s="299">
        <f>+RER!G35</f>
        <v>2137.8868664877609</v>
      </c>
      <c r="F35" s="299">
        <v>975</v>
      </c>
      <c r="G35" s="305">
        <f t="shared" si="0"/>
        <v>1011.7622950819672</v>
      </c>
      <c r="H35" s="373">
        <f t="shared" si="1"/>
        <v>1902047.7272727273</v>
      </c>
      <c r="I35" s="313">
        <f t="shared" si="2"/>
        <v>0.14258905285791593</v>
      </c>
      <c r="J35" s="302"/>
    </row>
    <row r="36" spans="2:10">
      <c r="B36" s="416">
        <v>1992</v>
      </c>
      <c r="C36" s="299">
        <v>13565659.908216847</v>
      </c>
      <c r="D36" s="310">
        <v>0.98104265402843605</v>
      </c>
      <c r="E36" s="299">
        <f>+RER!G36</f>
        <v>2061.6388915149414</v>
      </c>
      <c r="F36" s="299">
        <v>610.70000000000005</v>
      </c>
      <c r="G36" s="305">
        <f t="shared" si="0"/>
        <v>632.17187244480783</v>
      </c>
      <c r="H36" s="373">
        <f t="shared" si="1"/>
        <v>1188442.2646249908</v>
      </c>
      <c r="I36" s="313">
        <f t="shared" si="2"/>
        <v>8.7606668062284246E-2</v>
      </c>
      <c r="J36" s="302"/>
    </row>
    <row r="37" spans="2:10">
      <c r="B37" s="416">
        <v>1993</v>
      </c>
      <c r="C37" s="299">
        <v>14235309.638271177</v>
      </c>
      <c r="D37" s="310">
        <v>0.98262243285939976</v>
      </c>
      <c r="E37" s="299">
        <f>+RER!G37</f>
        <v>2021.8523395404229</v>
      </c>
      <c r="F37" s="299">
        <v>697.7</v>
      </c>
      <c r="G37" s="305">
        <f t="shared" si="0"/>
        <v>711.18212560386473</v>
      </c>
      <c r="H37" s="373">
        <f t="shared" si="1"/>
        <v>1336976.4343434344</v>
      </c>
      <c r="I37" s="313">
        <f t="shared" si="2"/>
        <v>9.391972976471237E-2</v>
      </c>
      <c r="J37" s="302"/>
    </row>
    <row r="38" spans="2:10">
      <c r="B38" s="416">
        <v>1994</v>
      </c>
      <c r="C38" s="299">
        <v>14992331.683506493</v>
      </c>
      <c r="D38" s="310">
        <v>1</v>
      </c>
      <c r="E38" s="299">
        <f>+RER!G38</f>
        <v>1879.935372684188</v>
      </c>
      <c r="F38" s="299">
        <v>1044.0999999999999</v>
      </c>
      <c r="G38" s="305">
        <f t="shared" ref="G38:G58" si="3">+F38/D37</f>
        <v>1062.5647909967845</v>
      </c>
      <c r="H38" s="373">
        <f t="shared" si="1"/>
        <v>1997553.1363636365</v>
      </c>
      <c r="I38" s="313">
        <f t="shared" ref="I38:I60" si="4">+H38/C38</f>
        <v>0.13323832333306793</v>
      </c>
      <c r="J38" s="302"/>
    </row>
    <row r="39" spans="2:10">
      <c r="B39" s="416">
        <v>1995</v>
      </c>
      <c r="C39" s="299">
        <v>16015230.034361625</v>
      </c>
      <c r="D39" s="310">
        <v>1.0213270142180095</v>
      </c>
      <c r="E39" s="299">
        <f>+RER!G39</f>
        <v>1783.586524064171</v>
      </c>
      <c r="F39" s="299">
        <v>1106.5</v>
      </c>
      <c r="G39" s="305">
        <f t="shared" si="3"/>
        <v>1106.5</v>
      </c>
      <c r="H39" s="373">
        <f t="shared" si="1"/>
        <v>2080148.489875054</v>
      </c>
      <c r="I39" s="313">
        <f t="shared" si="4"/>
        <v>0.12988564543949555</v>
      </c>
      <c r="J39" s="302"/>
    </row>
    <row r="40" spans="2:10">
      <c r="B40" s="416">
        <v>1996</v>
      </c>
      <c r="C40" s="299">
        <v>16267275.343454966</v>
      </c>
      <c r="D40" s="310">
        <v>1.0497630331753556</v>
      </c>
      <c r="E40" s="299">
        <f>+RER!G40</f>
        <v>1801.4242517956131</v>
      </c>
      <c r="F40" s="299">
        <v>1062.25</v>
      </c>
      <c r="G40" s="305">
        <f t="shared" si="3"/>
        <v>1040.0684454756381</v>
      </c>
      <c r="H40" s="373">
        <f t="shared" si="1"/>
        <v>1955261.4606623077</v>
      </c>
      <c r="I40" s="313">
        <f t="shared" si="4"/>
        <v>0.12019600205814396</v>
      </c>
      <c r="J40" s="302"/>
    </row>
    <row r="41" spans="2:10">
      <c r="B41" s="416">
        <v>1997</v>
      </c>
      <c r="C41" s="299">
        <v>16957417.11937755</v>
      </c>
      <c r="D41" s="310">
        <v>1.0379146919431281</v>
      </c>
      <c r="E41" s="299">
        <f>+RER!G41</f>
        <v>1926.1996005659055</v>
      </c>
      <c r="F41" s="299">
        <v>845.80805300000009</v>
      </c>
      <c r="G41" s="305">
        <f t="shared" si="3"/>
        <v>805.71331459593682</v>
      </c>
      <c r="H41" s="373">
        <f t="shared" si="1"/>
        <v>1514688.9603515249</v>
      </c>
      <c r="I41" s="313">
        <f t="shared" si="4"/>
        <v>8.932309382309539E-2</v>
      </c>
      <c r="J41" s="302"/>
    </row>
    <row r="42" spans="2:10">
      <c r="B42" s="416">
        <v>1998</v>
      </c>
      <c r="C42" s="299">
        <v>16968954.565882504</v>
      </c>
      <c r="D42" s="310">
        <v>1.0371248025276463</v>
      </c>
      <c r="E42" s="299">
        <f>+RER!G42</f>
        <v>2024.800509706221</v>
      </c>
      <c r="F42" s="299">
        <v>874.7526499999999</v>
      </c>
      <c r="G42" s="305">
        <f t="shared" si="3"/>
        <v>842.79821529680339</v>
      </c>
      <c r="H42" s="373">
        <f t="shared" si="1"/>
        <v>1584406.1769715645</v>
      </c>
      <c r="I42" s="313">
        <f t="shared" si="4"/>
        <v>9.3370877435027436E-2</v>
      </c>
      <c r="J42" s="302"/>
    </row>
    <row r="43" spans="2:10">
      <c r="B43" s="416">
        <v>1999</v>
      </c>
      <c r="C43" s="299">
        <v>16737145.11944644</v>
      </c>
      <c r="D43" s="310">
        <v>1.0679304897314374</v>
      </c>
      <c r="E43" s="299">
        <f>+RER!G43</f>
        <v>2240.5719033657324</v>
      </c>
      <c r="F43" s="299">
        <v>988.20243000000005</v>
      </c>
      <c r="G43" s="305">
        <f t="shared" si="3"/>
        <v>952.82884720487425</v>
      </c>
      <c r="H43" s="373">
        <f t="shared" si="1"/>
        <v>1791256.6539743405</v>
      </c>
      <c r="I43" s="313">
        <f t="shared" si="4"/>
        <v>0.10702283102589148</v>
      </c>
      <c r="J43" s="302"/>
    </row>
    <row r="44" spans="2:10">
      <c r="B44" s="416">
        <v>2000</v>
      </c>
      <c r="C44" s="299">
        <v>16349824.054186696</v>
      </c>
      <c r="D44" s="310">
        <v>1.1097946287519749</v>
      </c>
      <c r="E44" s="299">
        <f>+RER!G44</f>
        <v>2270.8975411149149</v>
      </c>
      <c r="F44" s="299">
        <v>771.87931299999991</v>
      </c>
      <c r="G44" s="305">
        <f t="shared" si="3"/>
        <v>722.78048096005921</v>
      </c>
      <c r="H44" s="373">
        <f t="shared" si="1"/>
        <v>1358780.5928425055</v>
      </c>
      <c r="I44" s="313">
        <f t="shared" si="4"/>
        <v>8.3106740986277641E-2</v>
      </c>
      <c r="J44" s="302"/>
    </row>
    <row r="45" spans="2:10">
      <c r="B45" s="416">
        <v>2001</v>
      </c>
      <c r="C45" s="299">
        <v>16213457.576121617</v>
      </c>
      <c r="D45" s="310">
        <v>1.0900473933649291</v>
      </c>
      <c r="E45" s="299">
        <f>+RER!G45</f>
        <v>2846.8209011731528</v>
      </c>
      <c r="F45" s="299">
        <v>723.13683700000001</v>
      </c>
      <c r="G45" s="305">
        <f t="shared" si="3"/>
        <v>651.59518551032022</v>
      </c>
      <c r="H45" s="373">
        <f t="shared" si="1"/>
        <v>1224956.8379115665</v>
      </c>
      <c r="I45" s="313">
        <f t="shared" si="4"/>
        <v>7.555185759486753E-2</v>
      </c>
      <c r="J45" s="302"/>
    </row>
    <row r="46" spans="2:10">
      <c r="B46" s="416">
        <v>2002</v>
      </c>
      <c r="C46" s="299">
        <v>16209987.183112355</v>
      </c>
      <c r="D46" s="310">
        <v>1.10347551342812</v>
      </c>
      <c r="E46" s="299">
        <f>+RER!G46</f>
        <v>3683.4432633291985</v>
      </c>
      <c r="F46" s="299">
        <v>641.31871999999998</v>
      </c>
      <c r="G46" s="305">
        <f t="shared" si="3"/>
        <v>588.34021704347822</v>
      </c>
      <c r="H46" s="373">
        <f t="shared" si="1"/>
        <v>1106041.5851927274</v>
      </c>
      <c r="I46" s="313">
        <f t="shared" si="4"/>
        <v>6.8232107323626209E-2</v>
      </c>
      <c r="J46" s="302"/>
    </row>
    <row r="47" spans="2:10">
      <c r="B47" s="416">
        <v>2003</v>
      </c>
      <c r="C47" s="299">
        <v>16910379.472739432</v>
      </c>
      <c r="D47" s="310">
        <v>1.1461295418641391</v>
      </c>
      <c r="E47" s="299">
        <f>+RER!G47</f>
        <v>2957.7008933937304</v>
      </c>
      <c r="F47" s="299">
        <v>983.37247200000002</v>
      </c>
      <c r="G47" s="305">
        <f t="shared" si="3"/>
        <v>891.15930533428786</v>
      </c>
      <c r="H47" s="373">
        <f t="shared" si="1"/>
        <v>1675321.9007945966</v>
      </c>
      <c r="I47" s="313">
        <f t="shared" si="4"/>
        <v>9.9070627214209964E-2</v>
      </c>
      <c r="J47" s="302"/>
    </row>
    <row r="48" spans="2:10">
      <c r="B48" s="416">
        <v>2004</v>
      </c>
      <c r="C48" s="299">
        <v>17596504.314825632</v>
      </c>
      <c r="D48" s="310">
        <v>1.1958925750394946</v>
      </c>
      <c r="E48" s="299">
        <f>+RER!G48</f>
        <v>3071.6399745364888</v>
      </c>
      <c r="F48" s="299">
        <v>1168.0470749999999</v>
      </c>
      <c r="G48" s="305">
        <f t="shared" si="3"/>
        <v>1019.1230854238455</v>
      </c>
      <c r="H48" s="373">
        <f t="shared" si="1"/>
        <v>1915885.5374073365</v>
      </c>
      <c r="I48" s="313">
        <f t="shared" si="4"/>
        <v>0.10887875814022561</v>
      </c>
      <c r="J48" s="302"/>
    </row>
    <row r="49" spans="2:16">
      <c r="B49" s="416">
        <v>2005</v>
      </c>
      <c r="C49" s="299">
        <v>17971924.091679085</v>
      </c>
      <c r="D49" s="310">
        <v>1.2606635071090047</v>
      </c>
      <c r="E49" s="299">
        <f>+RER!G49</f>
        <v>2851.96364018951</v>
      </c>
      <c r="F49" s="299">
        <v>1292.9581759999999</v>
      </c>
      <c r="G49" s="305">
        <f t="shared" si="3"/>
        <v>1081.1658195614264</v>
      </c>
      <c r="H49" s="373">
        <f t="shared" si="1"/>
        <v>2032521.8679306156</v>
      </c>
      <c r="I49" s="313">
        <f t="shared" si="4"/>
        <v>0.11309428292497983</v>
      </c>
      <c r="J49" s="302"/>
    </row>
    <row r="50" spans="2:16">
      <c r="B50" s="416">
        <v>2006</v>
      </c>
      <c r="C50" s="299">
        <v>18835855.544550456</v>
      </c>
      <c r="D50" s="310">
        <v>1.2725118483412323</v>
      </c>
      <c r="E50" s="299">
        <f>+RER!G50</f>
        <v>2265.3368249123087</v>
      </c>
      <c r="F50" s="299">
        <v>1703.1192643459999</v>
      </c>
      <c r="G50" s="305">
        <f t="shared" si="3"/>
        <v>1350.9705442744587</v>
      </c>
      <c r="H50" s="373">
        <f t="shared" si="1"/>
        <v>2539737.3136359649</v>
      </c>
      <c r="I50" s="313">
        <f t="shared" si="4"/>
        <v>0.13483525118511303</v>
      </c>
      <c r="J50" s="302"/>
    </row>
    <row r="51" spans="2:16">
      <c r="B51" s="416">
        <v>2007</v>
      </c>
      <c r="C51" s="299">
        <v>19857064.596928742</v>
      </c>
      <c r="D51" s="310">
        <v>1.3562401263823065</v>
      </c>
      <c r="E51" s="299">
        <f>+RER!G51</f>
        <v>2024.3223779764887</v>
      </c>
      <c r="F51" s="299">
        <v>2461.7888698809602</v>
      </c>
      <c r="G51" s="305">
        <f t="shared" si="3"/>
        <v>1934.5901361075701</v>
      </c>
      <c r="H51" s="373">
        <f t="shared" si="1"/>
        <v>3636904.4285145388</v>
      </c>
      <c r="I51" s="313">
        <f t="shared" si="4"/>
        <v>0.18315418226906774</v>
      </c>
      <c r="J51" s="302"/>
    </row>
    <row r="52" spans="2:16">
      <c r="B52" s="416">
        <v>2008</v>
      </c>
      <c r="C52" s="299">
        <v>21119799.320640549</v>
      </c>
      <c r="D52" s="310">
        <v>1.3404423380726698</v>
      </c>
      <c r="E52" s="299">
        <f>+RER!G52</f>
        <v>2040.0985502682911</v>
      </c>
      <c r="F52" s="299">
        <v>2864.1061557570993</v>
      </c>
      <c r="G52" s="305">
        <f t="shared" si="3"/>
        <v>2111.7987147282979</v>
      </c>
      <c r="H52" s="373">
        <f t="shared" si="1"/>
        <v>3970045.1038067318</v>
      </c>
      <c r="I52" s="313">
        <f t="shared" si="4"/>
        <v>0.18797740658107365</v>
      </c>
      <c r="J52" s="302"/>
    </row>
    <row r="53" spans="2:16">
      <c r="B53" s="416">
        <v>2009</v>
      </c>
      <c r="C53" s="299">
        <v>20282252.396957401</v>
      </c>
      <c r="D53" s="310">
        <v>1.3988941548183254</v>
      </c>
      <c r="E53" s="299">
        <f>+RER!G53</f>
        <v>1847.0044928617597</v>
      </c>
      <c r="F53" s="299">
        <v>3860.6602632712102</v>
      </c>
      <c r="G53" s="305">
        <f t="shared" si="3"/>
        <v>2880.1390060703316</v>
      </c>
      <c r="H53" s="373">
        <f t="shared" si="1"/>
        <v>5414475.1957590953</v>
      </c>
      <c r="I53" s="313">
        <f t="shared" si="4"/>
        <v>0.26695630691250721</v>
      </c>
      <c r="J53" s="302"/>
    </row>
    <row r="54" spans="2:16">
      <c r="B54" s="416">
        <v>2010</v>
      </c>
      <c r="C54" s="299">
        <v>22937808.012133818</v>
      </c>
      <c r="D54" s="310">
        <v>1.4533965244865719</v>
      </c>
      <c r="E54" s="299">
        <f>+RER!G54</f>
        <v>1781.423520792991</v>
      </c>
      <c r="F54" s="299">
        <v>4168.2296803111603</v>
      </c>
      <c r="G54" s="305">
        <f t="shared" si="3"/>
        <v>2979.6605168119308</v>
      </c>
      <c r="H54" s="373">
        <f t="shared" si="1"/>
        <v>5601569.2041451978</v>
      </c>
      <c r="I54" s="313">
        <f t="shared" si="4"/>
        <v>0.24420682225529294</v>
      </c>
      <c r="J54" s="302"/>
      <c r="P54" s="370"/>
    </row>
    <row r="55" spans="2:16">
      <c r="B55" s="416">
        <v>2011</v>
      </c>
      <c r="C55" s="299">
        <v>23933861.037312727</v>
      </c>
      <c r="D55" s="310">
        <v>1.5221169036334914</v>
      </c>
      <c r="E55" s="299">
        <f>+RER!G55</f>
        <v>1732.7407993371194</v>
      </c>
      <c r="F55" s="299">
        <v>4983.9365205540698</v>
      </c>
      <c r="G55" s="305">
        <f t="shared" si="3"/>
        <v>3429.165019033398</v>
      </c>
      <c r="H55" s="373">
        <f t="shared" si="1"/>
        <v>6446608.6180521315</v>
      </c>
      <c r="I55" s="313">
        <f t="shared" si="4"/>
        <v>0.26935096715076234</v>
      </c>
      <c r="J55" s="302"/>
    </row>
    <row r="56" spans="2:16">
      <c r="B56" s="416">
        <v>2012</v>
      </c>
      <c r="C56" s="299">
        <v>23637328.194770973</v>
      </c>
      <c r="D56" s="310">
        <v>1.5426540284360193</v>
      </c>
      <c r="E56" s="299">
        <f>+RER!G56</f>
        <v>1646.2617643095832</v>
      </c>
      <c r="F56" s="299">
        <v>4994.2501473768407</v>
      </c>
      <c r="G56" s="305">
        <f t="shared" si="3"/>
        <v>3281.121269631074</v>
      </c>
      <c r="H56" s="373">
        <f t="shared" si="1"/>
        <v>6168295.9368459089</v>
      </c>
      <c r="I56" s="313">
        <f t="shared" si="4"/>
        <v>0.26095571741523871</v>
      </c>
      <c r="J56" s="302"/>
    </row>
    <row r="57" spans="2:16">
      <c r="B57" s="416">
        <v>2013</v>
      </c>
      <c r="C57" s="299">
        <v>26955128.992666699</v>
      </c>
      <c r="D57" s="310">
        <v>1.566350710900474</v>
      </c>
      <c r="E57" s="299">
        <f>+RER!G57</f>
        <v>1745.657342207204</v>
      </c>
      <c r="F57" s="299">
        <v>5871.225365199999</v>
      </c>
      <c r="G57" s="305">
        <f t="shared" si="3"/>
        <v>3805.9248911127484</v>
      </c>
      <c r="H57" s="373">
        <f t="shared" si="1"/>
        <v>7154892.8285820726</v>
      </c>
      <c r="I57" s="313">
        <f t="shared" si="4"/>
        <v>0.26543715782360394</v>
      </c>
      <c r="J57" s="302"/>
    </row>
    <row r="58" spans="2:16">
      <c r="B58" s="416">
        <v>2014</v>
      </c>
      <c r="C58" s="299">
        <v>28228040.145098101</v>
      </c>
      <c r="D58" s="310">
        <v>1.5545023696682465</v>
      </c>
      <c r="E58" s="299">
        <f>+RER!G58</f>
        <v>1717.1274014667181</v>
      </c>
      <c r="F58" s="299">
        <v>6891</v>
      </c>
      <c r="G58" s="305">
        <f t="shared" si="3"/>
        <v>4399.3978819969743</v>
      </c>
      <c r="H58" s="373">
        <f t="shared" si="1"/>
        <v>8270583.6968780095</v>
      </c>
      <c r="I58" s="313">
        <f t="shared" si="4"/>
        <v>0.29299177889663819</v>
      </c>
      <c r="J58" s="302"/>
    </row>
    <row r="59" spans="2:16">
      <c r="B59" s="416">
        <v>2015</v>
      </c>
      <c r="C59" s="299">
        <v>29064221.400209699</v>
      </c>
      <c r="D59" s="310">
        <v>1.5102685624012637</v>
      </c>
      <c r="E59" s="299">
        <f>+RER!G59</f>
        <v>2073.406132697849</v>
      </c>
      <c r="F59" s="299">
        <v>6200.0847525048803</v>
      </c>
      <c r="G59" s="305">
        <f t="shared" ref="G59:G60" si="5">+F59/D58</f>
        <v>3988.4691548125907</v>
      </c>
      <c r="H59" s="373">
        <f t="shared" si="1"/>
        <v>7498064.2469919957</v>
      </c>
      <c r="I59" s="313">
        <f t="shared" si="4"/>
        <v>0.25798262901127972</v>
      </c>
    </row>
    <row r="60" spans="2:16">
      <c r="B60" s="416">
        <v>2016</v>
      </c>
      <c r="C60" s="299">
        <v>30232473.750384901</v>
      </c>
      <c r="D60" s="310">
        <v>1.5387045813586098</v>
      </c>
      <c r="E60" s="299">
        <f>+RER!G60</f>
        <v>1925.0457884621151</v>
      </c>
      <c r="F60" s="299">
        <v>7143.87004149314</v>
      </c>
      <c r="G60" s="305">
        <f t="shared" si="5"/>
        <v>4730.1984688966086</v>
      </c>
      <c r="H60" s="373">
        <f t="shared" si="1"/>
        <v>8892467.4214953221</v>
      </c>
      <c r="I60" s="313">
        <f t="shared" si="4"/>
        <v>0.29413628189727969</v>
      </c>
    </row>
    <row r="61" spans="2:16">
      <c r="B61" s="304"/>
      <c r="C61" s="304"/>
      <c r="D61" s="304"/>
      <c r="E61" s="304"/>
      <c r="F61" s="304"/>
      <c r="G61" s="304"/>
      <c r="H61" s="304"/>
      <c r="I61" s="304"/>
    </row>
  </sheetData>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0"/>
  <sheetViews>
    <sheetView zoomScaleNormal="100" zoomScalePageLayoutView="50" workbookViewId="0"/>
  </sheetViews>
  <sheetFormatPr defaultColWidth="11.44140625" defaultRowHeight="12"/>
  <cols>
    <col min="1" max="1" width="11.44140625" style="303" customWidth="1"/>
    <col min="2" max="2" width="6.109375" style="297" bestFit="1" customWidth="1"/>
    <col min="3" max="9" width="12.33203125" style="304" customWidth="1"/>
    <col min="10" max="15" width="11.44140625" style="303"/>
    <col min="16" max="16" width="11.44140625" style="303" customWidth="1"/>
    <col min="17" max="16384" width="11.44140625" style="303"/>
  </cols>
  <sheetData>
    <row r="1" spans="2:12" ht="36.15" customHeight="1">
      <c r="K1" s="350"/>
      <c r="L1" s="349"/>
    </row>
    <row r="2" spans="2:12" ht="81" customHeight="1" thickBot="1">
      <c r="B2" s="382"/>
      <c r="C2" s="415" t="s">
        <v>577</v>
      </c>
      <c r="D2" s="415" t="s">
        <v>577</v>
      </c>
      <c r="E2" s="415" t="s">
        <v>589</v>
      </c>
      <c r="F2" s="415" t="s">
        <v>585</v>
      </c>
      <c r="G2" s="415" t="s">
        <v>586</v>
      </c>
      <c r="H2" s="415" t="s">
        <v>586</v>
      </c>
      <c r="I2" s="415" t="s">
        <v>586</v>
      </c>
    </row>
    <row r="3" spans="2:12" ht="14.4" thickTop="1" thickBot="1">
      <c r="B3" s="382" t="s">
        <v>563</v>
      </c>
      <c r="C3" s="411" t="s">
        <v>578</v>
      </c>
      <c r="D3" s="423" t="s">
        <v>587</v>
      </c>
      <c r="E3" s="411" t="s">
        <v>588</v>
      </c>
      <c r="F3" s="411" t="s">
        <v>588</v>
      </c>
      <c r="G3" s="423" t="s">
        <v>587</v>
      </c>
      <c r="H3" s="411" t="s">
        <v>588</v>
      </c>
      <c r="I3" s="411" t="s">
        <v>590</v>
      </c>
    </row>
    <row r="4" spans="2:12" ht="12.6" thickTop="1">
      <c r="B4" s="416">
        <v>1960</v>
      </c>
      <c r="C4" s="299">
        <v>123.166702270508</v>
      </c>
      <c r="D4" s="317">
        <f t="shared" ref="D4:D35" si="0">C4/$C$38</f>
        <v>6.4377938939205889E-2</v>
      </c>
      <c r="E4" s="301"/>
      <c r="F4" s="310">
        <v>0.26540284360189575</v>
      </c>
      <c r="G4" s="299"/>
      <c r="H4" s="299"/>
      <c r="I4" s="299"/>
    </row>
    <row r="5" spans="2:12">
      <c r="B5" s="416">
        <v>1961</v>
      </c>
      <c r="C5" s="299">
        <v>126</v>
      </c>
      <c r="D5" s="317">
        <f t="shared" si="0"/>
        <v>6.585887384176764E-2</v>
      </c>
      <c r="E5" s="301">
        <v>1.5982647614964301E-2</v>
      </c>
      <c r="F5" s="310">
        <v>0.26382306477093209</v>
      </c>
      <c r="G5" s="299">
        <f t="shared" ref="G5:G36" si="1">+C5*F4/E5</f>
        <v>2092.3165610263982</v>
      </c>
      <c r="H5" s="307">
        <f>G5/$G$38*100</f>
        <v>111.29726007756162</v>
      </c>
      <c r="I5" s="308">
        <f t="shared" ref="I5:I36" si="2">+LOG(H5,2)</f>
        <v>6.7982742665411209</v>
      </c>
      <c r="J5" s="424"/>
    </row>
    <row r="6" spans="2:12">
      <c r="B6" s="416">
        <v>1962</v>
      </c>
      <c r="C6" s="299">
        <v>126</v>
      </c>
      <c r="D6" s="317">
        <f t="shared" si="0"/>
        <v>6.585887384176764E-2</v>
      </c>
      <c r="E6" s="301">
        <v>1.6302300567263599E-2</v>
      </c>
      <c r="F6" s="310">
        <v>0.2646129541864139</v>
      </c>
      <c r="G6" s="299">
        <f t="shared" si="1"/>
        <v>2039.0806821394035</v>
      </c>
      <c r="H6" s="307">
        <f t="shared" ref="H6:H60" si="3">G6/$G$38*100</f>
        <v>108.46546704570947</v>
      </c>
      <c r="I6" s="308">
        <f t="shared" si="2"/>
        <v>6.7610919840396413</v>
      </c>
      <c r="J6" s="424"/>
    </row>
    <row r="7" spans="2:12">
      <c r="B7" s="416">
        <v>1963</v>
      </c>
      <c r="C7" s="299">
        <v>126</v>
      </c>
      <c r="D7" s="317">
        <f t="shared" si="0"/>
        <v>6.585887384176764E-2</v>
      </c>
      <c r="E7" s="301">
        <v>1.6558022929103036E-2</v>
      </c>
      <c r="F7" s="310">
        <v>0.26382306477093209</v>
      </c>
      <c r="G7" s="299">
        <f t="shared" si="1"/>
        <v>2013.5998343670776</v>
      </c>
      <c r="H7" s="307">
        <f t="shared" si="3"/>
        <v>107.11005620858352</v>
      </c>
      <c r="I7" s="308">
        <f t="shared" si="2"/>
        <v>6.7429501260830271</v>
      </c>
      <c r="J7" s="424"/>
    </row>
    <row r="8" spans="2:12">
      <c r="B8" s="416">
        <v>1964</v>
      </c>
      <c r="C8" s="299">
        <v>144</v>
      </c>
      <c r="D8" s="317">
        <f t="shared" si="0"/>
        <v>7.5267284390591591E-2</v>
      </c>
      <c r="E8" s="301">
        <v>1.7393246492413673E-2</v>
      </c>
      <c r="F8" s="310">
        <v>0.26540284360189575</v>
      </c>
      <c r="G8" s="299">
        <f t="shared" si="1"/>
        <v>2184.2110582164382</v>
      </c>
      <c r="H8" s="307">
        <f t="shared" si="3"/>
        <v>116.18543328421991</v>
      </c>
      <c r="I8" s="308">
        <f t="shared" si="2"/>
        <v>6.8602853923729468</v>
      </c>
      <c r="J8" s="424"/>
    </row>
    <row r="9" spans="2:12">
      <c r="B9" s="416">
        <v>1965</v>
      </c>
      <c r="C9" s="299">
        <v>142.5</v>
      </c>
      <c r="D9" s="317">
        <f t="shared" si="0"/>
        <v>7.4483250178189589E-2</v>
      </c>
      <c r="E9" s="301">
        <v>1.8075334590155385E-2</v>
      </c>
      <c r="F9" s="310">
        <v>0.27409162717219593</v>
      </c>
      <c r="G9" s="299">
        <f t="shared" si="1"/>
        <v>2092.3488317537708</v>
      </c>
      <c r="H9" s="307">
        <f t="shared" si="3"/>
        <v>111.29897666462315</v>
      </c>
      <c r="I9" s="308">
        <f t="shared" si="2"/>
        <v>6.7982965176957437</v>
      </c>
      <c r="J9" s="424"/>
    </row>
    <row r="10" spans="2:12">
      <c r="B10" s="416">
        <v>1966</v>
      </c>
      <c r="C10" s="299">
        <v>132</v>
      </c>
      <c r="D10" s="317">
        <f t="shared" si="0"/>
        <v>6.8995010691375619E-2</v>
      </c>
      <c r="E10" s="301">
        <v>1.8314065424364988E-2</v>
      </c>
      <c r="F10" s="310">
        <v>0.27962085308056872</v>
      </c>
      <c r="G10" s="299">
        <f t="shared" si="1"/>
        <v>1975.5359582037941</v>
      </c>
      <c r="H10" s="307">
        <f t="shared" si="3"/>
        <v>105.08531234151452</v>
      </c>
      <c r="I10" s="308">
        <f t="shared" si="2"/>
        <v>6.7154172292667411</v>
      </c>
      <c r="J10" s="424"/>
    </row>
    <row r="11" spans="2:12">
      <c r="B11" s="416">
        <v>1967</v>
      </c>
      <c r="C11" s="299">
        <v>136.5</v>
      </c>
      <c r="D11" s="317">
        <f t="shared" si="0"/>
        <v>7.134711332858161E-2</v>
      </c>
      <c r="E11" s="301">
        <v>1.8416378639026242E-2</v>
      </c>
      <c r="F11" s="310">
        <v>0.28436018957345971</v>
      </c>
      <c r="G11" s="299">
        <f t="shared" si="1"/>
        <v>2072.5163830317379</v>
      </c>
      <c r="H11" s="307">
        <f t="shared" si="3"/>
        <v>110.24402291407395</v>
      </c>
      <c r="I11" s="308">
        <f t="shared" si="2"/>
        <v>6.7845566292674588</v>
      </c>
      <c r="J11" s="424"/>
    </row>
    <row r="12" spans="2:12">
      <c r="B12" s="416">
        <v>1968</v>
      </c>
      <c r="C12" s="299">
        <v>131.4</v>
      </c>
      <c r="D12" s="317">
        <f t="shared" si="0"/>
        <v>6.8681397006414832E-2</v>
      </c>
      <c r="E12" s="301">
        <v>1.8910892509888987E-2</v>
      </c>
      <c r="F12" s="310">
        <v>0.29304897314375988</v>
      </c>
      <c r="G12" s="299">
        <f t="shared" si="1"/>
        <v>1975.8416420808028</v>
      </c>
      <c r="H12" s="307">
        <f t="shared" si="3"/>
        <v>105.10157268117568</v>
      </c>
      <c r="I12" s="308">
        <f t="shared" si="2"/>
        <v>6.7156404469183713</v>
      </c>
      <c r="J12" s="424"/>
    </row>
    <row r="13" spans="2:12">
      <c r="B13" s="416">
        <v>1969</v>
      </c>
      <c r="C13" s="299">
        <v>130.9</v>
      </c>
      <c r="D13" s="317">
        <f t="shared" si="0"/>
        <v>6.8420052268947498E-2</v>
      </c>
      <c r="E13" s="301">
        <v>1.8859735902558357E-2</v>
      </c>
      <c r="F13" s="310">
        <v>0.30726698262243285</v>
      </c>
      <c r="G13" s="299">
        <f t="shared" si="1"/>
        <v>2033.9685975833072</v>
      </c>
      <c r="H13" s="307">
        <f t="shared" si="3"/>
        <v>108.19353830654237</v>
      </c>
      <c r="I13" s="308">
        <f t="shared" si="2"/>
        <v>6.7574705287594146</v>
      </c>
      <c r="J13" s="424"/>
    </row>
    <row r="14" spans="2:12">
      <c r="B14" s="416">
        <v>1970</v>
      </c>
      <c r="C14" s="299">
        <v>135</v>
      </c>
      <c r="D14" s="317">
        <f t="shared" si="0"/>
        <v>7.0563079116179608E-2</v>
      </c>
      <c r="E14" s="301">
        <v>1.9286040963646927E-2</v>
      </c>
      <c r="F14" s="310">
        <v>0.31437598736176936</v>
      </c>
      <c r="G14" s="299">
        <f t="shared" si="1"/>
        <v>2150.832445716454</v>
      </c>
      <c r="H14" s="307">
        <f t="shared" si="3"/>
        <v>114.40991413686081</v>
      </c>
      <c r="I14" s="308">
        <f t="shared" si="2"/>
        <v>6.8380682633626417</v>
      </c>
      <c r="J14" s="424"/>
    </row>
    <row r="15" spans="2:12">
      <c r="B15" s="416">
        <v>1971</v>
      </c>
      <c r="C15" s="299">
        <v>135.19583333333333</v>
      </c>
      <c r="D15" s="317">
        <f t="shared" si="0"/>
        <v>7.0665439138354311E-2</v>
      </c>
      <c r="E15" s="301">
        <v>2.0496747337138469E-2</v>
      </c>
      <c r="F15" s="310">
        <v>0.32464454976303325</v>
      </c>
      <c r="G15" s="299">
        <f t="shared" si="1"/>
        <v>2073.6130905196387</v>
      </c>
      <c r="H15" s="307">
        <f t="shared" si="3"/>
        <v>110.3023604241733</v>
      </c>
      <c r="I15" s="308">
        <f t="shared" si="2"/>
        <v>6.7853198541021369</v>
      </c>
      <c r="J15" s="424"/>
    </row>
    <row r="16" spans="2:12">
      <c r="B16" s="416">
        <v>1972</v>
      </c>
      <c r="C16" s="299">
        <v>134.33333333333334</v>
      </c>
      <c r="D16" s="317">
        <f t="shared" si="0"/>
        <v>7.0214619466223177E-2</v>
      </c>
      <c r="E16" s="301">
        <v>2.2440698415702346E-2</v>
      </c>
      <c r="F16" s="310">
        <v>0.33728278041074256</v>
      </c>
      <c r="G16" s="299">
        <f t="shared" si="1"/>
        <v>1943.3701977676417</v>
      </c>
      <c r="H16" s="307">
        <f t="shared" si="3"/>
        <v>103.37430881961016</v>
      </c>
      <c r="I16" s="308">
        <f t="shared" si="2"/>
        <v>6.6917338730686939</v>
      </c>
      <c r="J16" s="424"/>
    </row>
    <row r="17" spans="2:10">
      <c r="B17" s="416">
        <v>1973</v>
      </c>
      <c r="C17" s="299">
        <v>135.41666666666666</v>
      </c>
      <c r="D17" s="317">
        <f t="shared" si="0"/>
        <v>7.0780866397402387E-2</v>
      </c>
      <c r="E17" s="301">
        <v>2.561240807020131E-2</v>
      </c>
      <c r="F17" s="310">
        <v>0.37598736176935232</v>
      </c>
      <c r="G17" s="299">
        <f t="shared" si="1"/>
        <v>1783.2649597843558</v>
      </c>
      <c r="H17" s="307">
        <f t="shared" si="3"/>
        <v>94.857779990500134</v>
      </c>
      <c r="I17" s="308">
        <f t="shared" si="2"/>
        <v>6.5676941995036824</v>
      </c>
      <c r="J17" s="424"/>
    </row>
    <row r="18" spans="2:10">
      <c r="B18" s="416">
        <v>1974</v>
      </c>
      <c r="C18" s="299">
        <v>136.54166666666666</v>
      </c>
      <c r="D18" s="317">
        <f t="shared" si="0"/>
        <v>7.1368892056703881E-2</v>
      </c>
      <c r="E18" s="301">
        <v>3.1239634876570443E-2</v>
      </c>
      <c r="F18" s="310">
        <v>0.44549763033175355</v>
      </c>
      <c r="G18" s="299">
        <f t="shared" si="1"/>
        <v>1643.3591885574017</v>
      </c>
      <c r="H18" s="307">
        <f t="shared" si="3"/>
        <v>87.41572781893025</v>
      </c>
      <c r="I18" s="308">
        <f t="shared" si="2"/>
        <v>6.4498209673480424</v>
      </c>
      <c r="J18" s="424"/>
    </row>
    <row r="19" spans="2:10">
      <c r="B19" s="416">
        <v>1975</v>
      </c>
      <c r="C19" s="299">
        <v>139.5</v>
      </c>
      <c r="D19" s="317">
        <f t="shared" si="0"/>
        <v>7.2915181753385599E-2</v>
      </c>
      <c r="E19" s="301">
        <v>3.3950935065093751E-2</v>
      </c>
      <c r="F19" s="310">
        <v>0.47472353870458134</v>
      </c>
      <c r="G19" s="299">
        <f t="shared" si="1"/>
        <v>1830.4921296608186</v>
      </c>
      <c r="H19" s="307">
        <f t="shared" si="3"/>
        <v>97.36994985350087</v>
      </c>
      <c r="I19" s="308">
        <f t="shared" si="2"/>
        <v>6.6054046938229183</v>
      </c>
      <c r="J19" s="424"/>
    </row>
    <row r="20" spans="2:10">
      <c r="B20" s="416">
        <v>1976</v>
      </c>
      <c r="C20" s="299">
        <v>138.4</v>
      </c>
      <c r="D20" s="317">
        <f t="shared" si="0"/>
        <v>7.2340223330957479E-2</v>
      </c>
      <c r="E20" s="301">
        <v>3.5093432628811122E-2</v>
      </c>
      <c r="F20" s="310">
        <v>0.49289099526066349</v>
      </c>
      <c r="G20" s="299">
        <f t="shared" si="1"/>
        <v>1872.1946767548188</v>
      </c>
      <c r="H20" s="307">
        <f t="shared" si="3"/>
        <v>99.588246700293908</v>
      </c>
      <c r="I20" s="308">
        <f t="shared" si="2"/>
        <v>6.6379035818820187</v>
      </c>
      <c r="J20" s="424"/>
    </row>
    <row r="21" spans="2:10">
      <c r="B21" s="416">
        <v>1977</v>
      </c>
      <c r="C21" s="299">
        <v>133.07500000000002</v>
      </c>
      <c r="D21" s="317">
        <f t="shared" si="0"/>
        <v>6.9556901876930394E-2</v>
      </c>
      <c r="E21" s="301">
        <v>3.8384507700414884E-2</v>
      </c>
      <c r="F21" s="310">
        <v>0.52685624012638232</v>
      </c>
      <c r="G21" s="299">
        <f t="shared" si="1"/>
        <v>1708.8005845025818</v>
      </c>
      <c r="H21" s="307">
        <f t="shared" si="3"/>
        <v>90.896772800372474</v>
      </c>
      <c r="I21" s="308">
        <f t="shared" si="2"/>
        <v>6.5061571687616562</v>
      </c>
      <c r="J21" s="424"/>
    </row>
    <row r="22" spans="2:10">
      <c r="B22" s="416">
        <v>1978</v>
      </c>
      <c r="C22" s="299">
        <v>139.29166666666666</v>
      </c>
      <c r="D22" s="317">
        <f t="shared" si="0"/>
        <v>7.2806288112774203E-2</v>
      </c>
      <c r="E22" s="301">
        <v>4.4847292426517603E-2</v>
      </c>
      <c r="F22" s="310">
        <v>0.57503949447077407</v>
      </c>
      <c r="G22" s="299">
        <f t="shared" si="1"/>
        <v>1636.368213335991</v>
      </c>
      <c r="H22" s="307">
        <f t="shared" si="3"/>
        <v>87.043854651214431</v>
      </c>
      <c r="I22" s="308">
        <f t="shared" si="2"/>
        <v>6.4436705412166075</v>
      </c>
      <c r="J22" s="424"/>
    </row>
    <row r="23" spans="2:10">
      <c r="B23" s="416">
        <v>1979</v>
      </c>
      <c r="C23" s="299">
        <v>139</v>
      </c>
      <c r="D23" s="317">
        <f t="shared" si="0"/>
        <v>7.2653837015918266E-2</v>
      </c>
      <c r="E23" s="301">
        <v>6.0859310521004309E-2</v>
      </c>
      <c r="F23" s="310">
        <v>0.6492890995260665</v>
      </c>
      <c r="G23" s="299">
        <f t="shared" si="1"/>
        <v>1313.3650224948124</v>
      </c>
      <c r="H23" s="307">
        <f t="shared" si="3"/>
        <v>69.862243222732616</v>
      </c>
      <c r="I23" s="308">
        <f t="shared" si="2"/>
        <v>6.1264410621886212</v>
      </c>
      <c r="J23" s="424"/>
    </row>
    <row r="24" spans="2:10">
      <c r="B24" s="410">
        <v>1980</v>
      </c>
      <c r="C24" s="299">
        <v>135.70833333333334</v>
      </c>
      <c r="D24" s="317">
        <f t="shared" si="0"/>
        <v>7.0933317494258338E-2</v>
      </c>
      <c r="E24" s="301">
        <v>6.9998708510913082E-2</v>
      </c>
      <c r="F24" s="310">
        <v>0.72511848341232232</v>
      </c>
      <c r="G24" s="299">
        <f t="shared" si="1"/>
        <v>1258.7938180951719</v>
      </c>
      <c r="H24" s="307">
        <f t="shared" si="3"/>
        <v>66.959419796322848</v>
      </c>
      <c r="I24" s="308">
        <f t="shared" si="2"/>
        <v>6.0652151218706871</v>
      </c>
      <c r="J24" s="424"/>
    </row>
    <row r="25" spans="2:10">
      <c r="B25" s="416">
        <v>1981</v>
      </c>
      <c r="C25" s="299">
        <v>149.70833333333334</v>
      </c>
      <c r="D25" s="317">
        <f t="shared" si="0"/>
        <v>7.8250970143343632E-2</v>
      </c>
      <c r="E25" s="301">
        <v>7.5681260493348834E-2</v>
      </c>
      <c r="F25" s="310">
        <v>0.7764612954186414</v>
      </c>
      <c r="G25" s="299">
        <f t="shared" si="1"/>
        <v>1434.3878380618864</v>
      </c>
      <c r="H25" s="307">
        <f t="shared" si="3"/>
        <v>76.29984833009739</v>
      </c>
      <c r="I25" s="308">
        <f t="shared" si="2"/>
        <v>6.2536082841406966</v>
      </c>
      <c r="J25" s="424"/>
    </row>
    <row r="26" spans="2:10">
      <c r="B26" s="416">
        <v>1982</v>
      </c>
      <c r="C26" s="299">
        <v>205.66666666666666</v>
      </c>
      <c r="D26" s="317">
        <f t="shared" si="0"/>
        <v>0.10749980201156252</v>
      </c>
      <c r="E26" s="301">
        <v>8.2397003745318359E-2</v>
      </c>
      <c r="F26" s="310">
        <v>0.80410742496050558</v>
      </c>
      <c r="G26" s="299">
        <f t="shared" si="1"/>
        <v>1938.0826870601752</v>
      </c>
      <c r="H26" s="307">
        <f t="shared" si="3"/>
        <v>103.09304858139691</v>
      </c>
      <c r="I26" s="308">
        <f t="shared" si="2"/>
        <v>6.6878032468721003</v>
      </c>
      <c r="J26" s="424"/>
    </row>
    <row r="27" spans="2:10">
      <c r="B27" s="416">
        <v>1983</v>
      </c>
      <c r="C27" s="299">
        <v>320.75</v>
      </c>
      <c r="D27" s="317">
        <f t="shared" si="0"/>
        <v>0.16765264908529343</v>
      </c>
      <c r="E27" s="301">
        <v>9.4020405527573292E-2</v>
      </c>
      <c r="F27" s="310">
        <v>0.80805687203791465</v>
      </c>
      <c r="G27" s="299">
        <f t="shared" si="1"/>
        <v>2743.2072336727256</v>
      </c>
      <c r="H27" s="307">
        <f t="shared" si="3"/>
        <v>145.92029457671998</v>
      </c>
      <c r="I27" s="308">
        <f t="shared" si="2"/>
        <v>7.1890367368348098</v>
      </c>
      <c r="J27" s="424"/>
    </row>
    <row r="28" spans="2:10">
      <c r="B28" s="416">
        <v>1984</v>
      </c>
      <c r="C28" s="299">
        <v>388.25</v>
      </c>
      <c r="D28" s="317">
        <f t="shared" si="0"/>
        <v>0.20293418864338322</v>
      </c>
      <c r="E28" s="301">
        <v>0.12204571871367687</v>
      </c>
      <c r="F28" s="310">
        <v>0.82148499210110582</v>
      </c>
      <c r="G28" s="299">
        <f t="shared" si="1"/>
        <v>2570.5783363424357</v>
      </c>
      <c r="H28" s="307">
        <f t="shared" si="3"/>
        <v>136.73759075409819</v>
      </c>
      <c r="I28" s="308">
        <f t="shared" si="2"/>
        <v>7.0952661008923226</v>
      </c>
      <c r="J28" s="424"/>
    </row>
    <row r="29" spans="2:10">
      <c r="B29" s="416">
        <v>1985</v>
      </c>
      <c r="C29" s="299">
        <v>612.5</v>
      </c>
      <c r="D29" s="317">
        <f t="shared" si="0"/>
        <v>0.3201473033974816</v>
      </c>
      <c r="E29" s="301">
        <v>0.15020018080847219</v>
      </c>
      <c r="F29" s="310">
        <v>0.83728278041074267</v>
      </c>
      <c r="G29" s="299">
        <f t="shared" si="1"/>
        <v>3349.9264445196063</v>
      </c>
      <c r="H29" s="307">
        <f t="shared" si="3"/>
        <v>178.19370246417316</v>
      </c>
      <c r="I29" s="308">
        <f t="shared" si="2"/>
        <v>7.4773025413132963</v>
      </c>
      <c r="J29" s="424"/>
    </row>
    <row r="30" spans="2:10">
      <c r="B30" s="416">
        <v>1986</v>
      </c>
      <c r="C30" s="299">
        <v>702.5</v>
      </c>
      <c r="D30" s="317">
        <f t="shared" si="0"/>
        <v>0.36718935614160131</v>
      </c>
      <c r="E30" s="301">
        <v>0.18642644969650007</v>
      </c>
      <c r="F30" s="310">
        <v>0.81832543443917838</v>
      </c>
      <c r="G30" s="299">
        <f t="shared" si="1"/>
        <v>3155.0842393668631</v>
      </c>
      <c r="H30" s="307">
        <f t="shared" si="3"/>
        <v>167.82939909588524</v>
      </c>
      <c r="I30" s="308">
        <f t="shared" si="2"/>
        <v>7.3908516481909956</v>
      </c>
      <c r="J30" s="424"/>
    </row>
    <row r="31" spans="2:10">
      <c r="B31" s="416">
        <v>1987</v>
      </c>
      <c r="C31" s="299">
        <v>807.25</v>
      </c>
      <c r="D31" s="317">
        <f t="shared" si="0"/>
        <v>0.42194107864100733</v>
      </c>
      <c r="E31" s="301">
        <v>0.2461578199664213</v>
      </c>
      <c r="F31" s="310">
        <v>0.83570300157977884</v>
      </c>
      <c r="G31" s="299">
        <f t="shared" si="1"/>
        <v>2683.616579969465</v>
      </c>
      <c r="H31" s="307">
        <f t="shared" si="3"/>
        <v>142.75046998758123</v>
      </c>
      <c r="I31" s="308">
        <f t="shared" si="2"/>
        <v>7.1573516852587211</v>
      </c>
      <c r="J31" s="424"/>
    </row>
    <row r="32" spans="2:10">
      <c r="B32" s="416">
        <v>1988</v>
      </c>
      <c r="C32" s="299">
        <v>933.75</v>
      </c>
      <c r="D32" s="317">
        <f t="shared" si="0"/>
        <v>0.48806129722024233</v>
      </c>
      <c r="E32" s="301">
        <v>0.28787291747384736</v>
      </c>
      <c r="F32" s="310">
        <v>0.86887835703001581</v>
      </c>
      <c r="G32" s="299">
        <f t="shared" si="1"/>
        <v>2710.7019464448599</v>
      </c>
      <c r="H32" s="307">
        <f t="shared" si="3"/>
        <v>144.1912304982323</v>
      </c>
      <c r="I32" s="308">
        <f t="shared" si="2"/>
        <v>7.1718396143990004</v>
      </c>
      <c r="J32" s="424"/>
    </row>
    <row r="33" spans="2:10">
      <c r="B33" s="416">
        <v>1989</v>
      </c>
      <c r="C33" s="299">
        <v>1145</v>
      </c>
      <c r="D33" s="317">
        <f t="shared" si="0"/>
        <v>0.59847944880018999</v>
      </c>
      <c r="E33" s="301">
        <v>0.37001162340178229</v>
      </c>
      <c r="F33" s="310">
        <v>0.91232227488151663</v>
      </c>
      <c r="G33" s="299">
        <f t="shared" si="1"/>
        <v>2688.7418012787107</v>
      </c>
      <c r="H33" s="307">
        <f t="shared" si="3"/>
        <v>143.02309751423539</v>
      </c>
      <c r="I33" s="308">
        <f t="shared" si="2"/>
        <v>7.1601043436201879</v>
      </c>
      <c r="J33" s="424"/>
    </row>
    <row r="34" spans="2:10">
      <c r="B34" s="416">
        <v>1990</v>
      </c>
      <c r="C34" s="299">
        <v>1229.9166666666667</v>
      </c>
      <c r="D34" s="317">
        <f t="shared" si="0"/>
        <v>0.64286449671339196</v>
      </c>
      <c r="E34" s="301">
        <v>0.53306212062508074</v>
      </c>
      <c r="F34" s="310">
        <v>0.9636650868878357</v>
      </c>
      <c r="G34" s="299">
        <f t="shared" si="1"/>
        <v>2104.9711240638303</v>
      </c>
      <c r="H34" s="307">
        <f t="shared" si="3"/>
        <v>111.97039827269883</v>
      </c>
      <c r="I34" s="308">
        <f t="shared" si="2"/>
        <v>6.8069735657198285</v>
      </c>
      <c r="J34" s="424"/>
    </row>
    <row r="35" spans="2:10">
      <c r="B35" s="416">
        <v>1991</v>
      </c>
      <c r="C35" s="299">
        <v>1322.2727272727273</v>
      </c>
      <c r="D35" s="317">
        <f t="shared" si="0"/>
        <v>0.6911380375386077</v>
      </c>
      <c r="E35" s="301">
        <v>0.59602221361229502</v>
      </c>
      <c r="F35" s="310">
        <v>0.96603475513428128</v>
      </c>
      <c r="G35" s="299">
        <f t="shared" si="1"/>
        <v>2137.8868664877609</v>
      </c>
      <c r="H35" s="307">
        <f t="shared" si="3"/>
        <v>113.721295824934</v>
      </c>
      <c r="I35" s="308">
        <f t="shared" si="2"/>
        <v>6.8293586331356115</v>
      </c>
      <c r="J35" s="424"/>
    </row>
    <row r="36" spans="2:10">
      <c r="B36" s="416">
        <v>1992</v>
      </c>
      <c r="C36" s="299">
        <v>1498.5454545454545</v>
      </c>
      <c r="D36" s="317">
        <f t="shared" ref="D36:D60" si="4">C36/$C$38</f>
        <v>0.78327393680209068</v>
      </c>
      <c r="E36" s="301">
        <v>0.70218261655689029</v>
      </c>
      <c r="F36" s="310">
        <v>0.98104265402843605</v>
      </c>
      <c r="G36" s="299">
        <f t="shared" si="1"/>
        <v>2061.6388915149414</v>
      </c>
      <c r="H36" s="307">
        <f t="shared" si="3"/>
        <v>109.66541304934943</v>
      </c>
      <c r="I36" s="308">
        <f t="shared" si="2"/>
        <v>6.776964781240614</v>
      </c>
      <c r="J36" s="424"/>
    </row>
    <row r="37" spans="2:10">
      <c r="B37" s="416">
        <v>1993</v>
      </c>
      <c r="C37" s="299">
        <v>1742.4545454545455</v>
      </c>
      <c r="D37" s="317">
        <f t="shared" si="4"/>
        <v>0.91076265146115465</v>
      </c>
      <c r="E37" s="301">
        <v>0.84547333075035513</v>
      </c>
      <c r="F37" s="310">
        <v>0.98262243285939976</v>
      </c>
      <c r="G37" s="299">
        <f t="shared" ref="G37:G60" si="5">+C37*F36/E37</f>
        <v>2021.8523395404229</v>
      </c>
      <c r="H37" s="307">
        <f t="shared" si="3"/>
        <v>107.54903434013289</v>
      </c>
      <c r="I37" s="308">
        <f t="shared" ref="I37:I60" si="6">+LOG(H37,2)</f>
        <v>6.7488507609424317</v>
      </c>
      <c r="J37" s="424"/>
    </row>
    <row r="38" spans="2:10">
      <c r="B38" s="416">
        <v>1994</v>
      </c>
      <c r="C38" s="299">
        <v>1913.1818181818182</v>
      </c>
      <c r="D38" s="317">
        <f t="shared" si="4"/>
        <v>1</v>
      </c>
      <c r="E38" s="301">
        <v>1</v>
      </c>
      <c r="F38" s="310">
        <v>1</v>
      </c>
      <c r="G38" s="299">
        <f t="shared" si="5"/>
        <v>1879.935372684188</v>
      </c>
      <c r="H38" s="307">
        <f t="shared" si="3"/>
        <v>100</v>
      </c>
      <c r="I38" s="308">
        <f t="shared" si="6"/>
        <v>6.6438561897747253</v>
      </c>
      <c r="J38" s="424"/>
    </row>
    <row r="39" spans="2:10">
      <c r="B39" s="416">
        <v>1995</v>
      </c>
      <c r="C39" s="299">
        <v>1971.4545454545455</v>
      </c>
      <c r="D39" s="317">
        <f t="shared" si="4"/>
        <v>1.0304585412211926</v>
      </c>
      <c r="E39" s="301">
        <v>1.1053315994798441</v>
      </c>
      <c r="F39" s="310">
        <v>1.0213270142180095</v>
      </c>
      <c r="G39" s="299">
        <f t="shared" si="5"/>
        <v>1783.586524064171</v>
      </c>
      <c r="H39" s="307">
        <f t="shared" si="3"/>
        <v>94.874885061476917</v>
      </c>
      <c r="I39" s="308">
        <f t="shared" si="6"/>
        <v>6.5679543276279801</v>
      </c>
      <c r="J39" s="424"/>
    </row>
    <row r="40" spans="2:10">
      <c r="B40" s="416">
        <v>1996</v>
      </c>
      <c r="C40" s="299">
        <v>2109</v>
      </c>
      <c r="D40" s="317">
        <f t="shared" si="4"/>
        <v>1.1023521026372058</v>
      </c>
      <c r="E40" s="301">
        <v>1.1957087126137842</v>
      </c>
      <c r="F40" s="310">
        <v>1.0497630331753556</v>
      </c>
      <c r="G40" s="299">
        <f t="shared" si="5"/>
        <v>1801.4242517956131</v>
      </c>
      <c r="H40" s="307">
        <f t="shared" si="3"/>
        <v>95.823732984157004</v>
      </c>
      <c r="I40" s="308">
        <f t="shared" si="6"/>
        <v>6.5823111122068356</v>
      </c>
      <c r="J40" s="424"/>
    </row>
    <row r="41" spans="2:10">
      <c r="B41" s="416">
        <v>1997</v>
      </c>
      <c r="C41" s="299">
        <v>2330</v>
      </c>
      <c r="D41" s="317">
        <f t="shared" si="4"/>
        <v>1.2178664765977667</v>
      </c>
      <c r="E41" s="301">
        <v>1.2698309492847855</v>
      </c>
      <c r="F41" s="310">
        <v>1.0379146919431281</v>
      </c>
      <c r="G41" s="299">
        <f t="shared" si="5"/>
        <v>1926.1996005659055</v>
      </c>
      <c r="H41" s="307">
        <f t="shared" si="3"/>
        <v>102.46094778330924</v>
      </c>
      <c r="I41" s="308">
        <f t="shared" si="6"/>
        <v>6.6789303319458542</v>
      </c>
      <c r="J41" s="424"/>
    </row>
    <row r="42" spans="2:10">
      <c r="B42" s="416">
        <v>1998</v>
      </c>
      <c r="C42" s="299">
        <v>2840</v>
      </c>
      <c r="D42" s="317">
        <f t="shared" si="4"/>
        <v>1.4844381088144452</v>
      </c>
      <c r="E42" s="301">
        <v>1.4557867360208061</v>
      </c>
      <c r="F42" s="310">
        <v>1.0371248025276463</v>
      </c>
      <c r="G42" s="299">
        <f t="shared" si="5"/>
        <v>2024.800509706221</v>
      </c>
      <c r="H42" s="307">
        <f t="shared" si="3"/>
        <v>107.70585729312563</v>
      </c>
      <c r="I42" s="308">
        <f t="shared" si="6"/>
        <v>6.750952898876605</v>
      </c>
      <c r="J42" s="424"/>
    </row>
    <row r="43" spans="2:10">
      <c r="B43" s="416">
        <v>1999</v>
      </c>
      <c r="C43" s="299">
        <v>3315</v>
      </c>
      <c r="D43" s="317">
        <f t="shared" si="4"/>
        <v>1.7327156094084104</v>
      </c>
      <c r="E43" s="301">
        <v>1.5344603381014303</v>
      </c>
      <c r="F43" s="310">
        <v>1.0679304897314374</v>
      </c>
      <c r="G43" s="299">
        <f t="shared" si="5"/>
        <v>2240.5719033657324</v>
      </c>
      <c r="H43" s="307">
        <f t="shared" si="3"/>
        <v>119.18345364003787</v>
      </c>
      <c r="I43" s="308">
        <f t="shared" si="6"/>
        <v>6.8970401486584612</v>
      </c>
      <c r="J43" s="424"/>
    </row>
    <row r="44" spans="2:10">
      <c r="B44" s="416">
        <v>2000</v>
      </c>
      <c r="C44" s="299">
        <v>3545</v>
      </c>
      <c r="D44" s="317">
        <f t="shared" si="4"/>
        <v>1.8529341886433832</v>
      </c>
      <c r="E44" s="301">
        <v>1.6671001300390114</v>
      </c>
      <c r="F44" s="310">
        <v>1.1097946287519749</v>
      </c>
      <c r="G44" s="299">
        <f t="shared" si="5"/>
        <v>2270.8975411149149</v>
      </c>
      <c r="H44" s="307">
        <f t="shared" si="3"/>
        <v>120.79657493079179</v>
      </c>
      <c r="I44" s="308">
        <f t="shared" si="6"/>
        <v>6.9164357388051503</v>
      </c>
      <c r="J44" s="424"/>
    </row>
    <row r="45" spans="2:10">
      <c r="B45" s="416">
        <v>2001</v>
      </c>
      <c r="C45" s="299">
        <v>4635</v>
      </c>
      <c r="D45" s="317">
        <f t="shared" si="4"/>
        <v>2.4226657163221668</v>
      </c>
      <c r="E45" s="301">
        <v>1.8068920676202858</v>
      </c>
      <c r="F45" s="310">
        <v>1.0900473933649291</v>
      </c>
      <c r="G45" s="299">
        <f t="shared" si="5"/>
        <v>2846.8209011731528</v>
      </c>
      <c r="H45" s="307">
        <f t="shared" si="3"/>
        <v>151.43184933577996</v>
      </c>
      <c r="I45" s="308">
        <f t="shared" si="6"/>
        <v>7.2425248564354492</v>
      </c>
      <c r="J45" s="424"/>
    </row>
    <row r="46" spans="2:10">
      <c r="B46" s="416">
        <v>2002</v>
      </c>
      <c r="C46" s="299">
        <v>7000</v>
      </c>
      <c r="D46" s="317">
        <f t="shared" si="4"/>
        <v>3.6588263245426464</v>
      </c>
      <c r="E46" s="301">
        <v>2.0715214564369311</v>
      </c>
      <c r="F46" s="310">
        <v>1.10347551342812</v>
      </c>
      <c r="G46" s="299">
        <f t="shared" si="5"/>
        <v>3683.4432633291985</v>
      </c>
      <c r="H46" s="307">
        <f t="shared" si="3"/>
        <v>195.93456864796082</v>
      </c>
      <c r="I46" s="308">
        <f t="shared" si="6"/>
        <v>7.6142281438747412</v>
      </c>
      <c r="J46" s="424"/>
    </row>
    <row r="47" spans="2:10">
      <c r="B47" s="416">
        <v>2003</v>
      </c>
      <c r="C47" s="299">
        <v>6070</v>
      </c>
      <c r="D47" s="317">
        <f t="shared" si="4"/>
        <v>3.1727251128534091</v>
      </c>
      <c r="E47" s="301">
        <v>2.2646293888166449</v>
      </c>
      <c r="F47" s="310">
        <v>1.1461295418641391</v>
      </c>
      <c r="G47" s="299">
        <f t="shared" si="5"/>
        <v>2957.7008933937304</v>
      </c>
      <c r="H47" s="307">
        <f t="shared" si="3"/>
        <v>157.32992401598889</v>
      </c>
      <c r="I47" s="308">
        <f t="shared" si="6"/>
        <v>7.2976492859806132</v>
      </c>
      <c r="J47" s="424"/>
    </row>
    <row r="48" spans="2:10">
      <c r="B48" s="416">
        <v>2004</v>
      </c>
      <c r="C48" s="299">
        <v>6240</v>
      </c>
      <c r="D48" s="317">
        <f t="shared" si="4"/>
        <v>3.261582323592302</v>
      </c>
      <c r="E48" s="301">
        <v>2.3283485045513652</v>
      </c>
      <c r="F48" s="310">
        <v>1.1958925750394946</v>
      </c>
      <c r="G48" s="299">
        <f t="shared" si="5"/>
        <v>3071.6399745364888</v>
      </c>
      <c r="H48" s="307">
        <f t="shared" si="3"/>
        <v>163.39072178586517</v>
      </c>
      <c r="I48" s="308">
        <f t="shared" si="6"/>
        <v>7.3521822515106585</v>
      </c>
      <c r="J48" s="424"/>
    </row>
    <row r="49" spans="2:16">
      <c r="B49" s="416">
        <v>2005</v>
      </c>
      <c r="C49" s="299">
        <v>6100</v>
      </c>
      <c r="D49" s="317">
        <f t="shared" si="4"/>
        <v>3.1884057971014492</v>
      </c>
      <c r="E49" s="301">
        <v>2.5578673602080624</v>
      </c>
      <c r="F49" s="310">
        <v>1.2606635071090047</v>
      </c>
      <c r="G49" s="299">
        <f t="shared" si="5"/>
        <v>2851.96364018951</v>
      </c>
      <c r="H49" s="307">
        <f t="shared" si="3"/>
        <v>151.7054086873982</v>
      </c>
      <c r="I49" s="308">
        <f t="shared" si="6"/>
        <v>7.2451287120596408</v>
      </c>
      <c r="J49" s="424"/>
    </row>
    <row r="50" spans="2:16">
      <c r="B50" s="416">
        <v>2006</v>
      </c>
      <c r="C50" s="299">
        <v>5170</v>
      </c>
      <c r="D50" s="317">
        <f t="shared" si="4"/>
        <v>2.7023045854122119</v>
      </c>
      <c r="E50" s="301">
        <v>2.8771131339401821</v>
      </c>
      <c r="F50" s="310">
        <v>1.2725118483412323</v>
      </c>
      <c r="G50" s="299">
        <f t="shared" si="5"/>
        <v>2265.3368249123087</v>
      </c>
      <c r="H50" s="307">
        <f t="shared" si="3"/>
        <v>120.50078198581056</v>
      </c>
      <c r="I50" s="308">
        <f t="shared" si="6"/>
        <v>6.9128986985817482</v>
      </c>
      <c r="J50" s="424"/>
    </row>
    <row r="51" spans="2:16">
      <c r="B51" s="416">
        <v>2007</v>
      </c>
      <c r="C51" s="299">
        <v>4850</v>
      </c>
      <c r="D51" s="317">
        <f t="shared" si="4"/>
        <v>2.5350439534331195</v>
      </c>
      <c r="E51" s="301">
        <v>3.0487646293888164</v>
      </c>
      <c r="F51" s="310">
        <v>1.3562401263823065</v>
      </c>
      <c r="G51" s="299">
        <f t="shared" si="5"/>
        <v>2024.3223779764887</v>
      </c>
      <c r="H51" s="307">
        <f t="shared" si="3"/>
        <v>107.68042388000518</v>
      </c>
      <c r="I51" s="308">
        <f t="shared" si="6"/>
        <v>6.7506121839624287</v>
      </c>
      <c r="J51" s="424"/>
    </row>
    <row r="52" spans="2:16">
      <c r="B52" s="416">
        <v>2008</v>
      </c>
      <c r="C52" s="299">
        <v>4930</v>
      </c>
      <c r="D52" s="317">
        <f t="shared" si="4"/>
        <v>2.5768591114278925</v>
      </c>
      <c r="E52" s="301">
        <v>3.2774219765929775</v>
      </c>
      <c r="F52" s="310">
        <v>1.3404423380726698</v>
      </c>
      <c r="G52" s="299">
        <f t="shared" si="5"/>
        <v>2040.0985502682911</v>
      </c>
      <c r="H52" s="307">
        <f t="shared" si="3"/>
        <v>108.51961082871804</v>
      </c>
      <c r="I52" s="308">
        <f t="shared" si="6"/>
        <v>6.7618119687466809</v>
      </c>
      <c r="J52" s="424"/>
    </row>
    <row r="53" spans="2:16">
      <c r="B53" s="416">
        <v>2009</v>
      </c>
      <c r="C53" s="299">
        <v>4600</v>
      </c>
      <c r="D53" s="317">
        <f t="shared" si="4"/>
        <v>2.4043715846994536</v>
      </c>
      <c r="E53" s="301">
        <v>3.3383972691807537</v>
      </c>
      <c r="F53" s="310">
        <v>1.3988941548183254</v>
      </c>
      <c r="G53" s="299">
        <f t="shared" si="5"/>
        <v>1847.0044928617597</v>
      </c>
      <c r="H53" s="307">
        <f t="shared" si="3"/>
        <v>98.248297239313644</v>
      </c>
      <c r="I53" s="308">
        <f t="shared" si="6"/>
        <v>6.6183604988419606</v>
      </c>
      <c r="J53" s="424"/>
    </row>
    <row r="54" spans="2:16">
      <c r="B54" s="416">
        <v>2010</v>
      </c>
      <c r="C54" s="299">
        <v>4558</v>
      </c>
      <c r="D54" s="317">
        <f t="shared" si="4"/>
        <v>2.3824186267521976</v>
      </c>
      <c r="E54" s="301">
        <v>3.5792496749024703</v>
      </c>
      <c r="F54" s="310">
        <v>1.4533965244865719</v>
      </c>
      <c r="G54" s="299">
        <f t="shared" si="5"/>
        <v>1781.423520792991</v>
      </c>
      <c r="H54" s="307">
        <f t="shared" si="3"/>
        <v>94.75982774075149</v>
      </c>
      <c r="I54" s="308">
        <f t="shared" si="6"/>
        <v>6.5662036708632536</v>
      </c>
      <c r="J54" s="424"/>
      <c r="P54" s="370"/>
    </row>
    <row r="55" spans="2:16">
      <c r="B55" s="416">
        <v>2011</v>
      </c>
      <c r="C55" s="299">
        <v>4478</v>
      </c>
      <c r="D55" s="317">
        <f t="shared" si="4"/>
        <v>2.3406034687574246</v>
      </c>
      <c r="E55" s="301">
        <v>3.7560780234070212</v>
      </c>
      <c r="F55" s="310">
        <v>1.5221169036334914</v>
      </c>
      <c r="G55" s="299">
        <f t="shared" si="5"/>
        <v>1732.7407993371194</v>
      </c>
      <c r="H55" s="307">
        <f t="shared" si="3"/>
        <v>92.170232259798226</v>
      </c>
      <c r="I55" s="308">
        <f t="shared" si="6"/>
        <v>6.5262289810581668</v>
      </c>
      <c r="J55" s="424"/>
    </row>
    <row r="56" spans="2:16">
      <c r="B56" s="416">
        <v>2012</v>
      </c>
      <c r="C56" s="299">
        <v>4224</v>
      </c>
      <c r="D56" s="317">
        <f t="shared" si="4"/>
        <v>2.2078403421240198</v>
      </c>
      <c r="E56" s="301">
        <v>3.9054674902470734</v>
      </c>
      <c r="F56" s="310">
        <v>1.5426540284360193</v>
      </c>
      <c r="G56" s="299">
        <f t="shared" si="5"/>
        <v>1646.2617643095832</v>
      </c>
      <c r="H56" s="307">
        <f t="shared" si="3"/>
        <v>87.570125453782836</v>
      </c>
      <c r="I56" s="308">
        <f t="shared" si="6"/>
        <v>6.4523668732686232</v>
      </c>
      <c r="J56" s="424"/>
    </row>
    <row r="57" spans="2:16">
      <c r="B57" s="416">
        <v>2013</v>
      </c>
      <c r="C57" s="299">
        <v>4585</v>
      </c>
      <c r="D57" s="317">
        <f t="shared" si="4"/>
        <v>2.3965312425754335</v>
      </c>
      <c r="E57" s="301">
        <v>4.0518081924577372</v>
      </c>
      <c r="F57" s="310">
        <v>1.566350710900474</v>
      </c>
      <c r="G57" s="299">
        <f t="shared" si="5"/>
        <v>1745.657342207204</v>
      </c>
      <c r="H57" s="307">
        <f t="shared" si="3"/>
        <v>92.857306031469548</v>
      </c>
      <c r="I57" s="308">
        <f t="shared" si="6"/>
        <v>6.5369435210491291</v>
      </c>
      <c r="J57" s="424"/>
    </row>
    <row r="58" spans="2:16">
      <c r="B58" s="416">
        <v>2014</v>
      </c>
      <c r="C58" s="299">
        <v>4629</v>
      </c>
      <c r="D58" s="317">
        <f t="shared" si="4"/>
        <v>2.4195295794725586</v>
      </c>
      <c r="E58" s="301">
        <v>4.2225390117035113</v>
      </c>
      <c r="F58" s="310">
        <v>1.5545023696682465</v>
      </c>
      <c r="G58" s="299">
        <f t="shared" si="5"/>
        <v>1717.1274014667181</v>
      </c>
      <c r="H58" s="307">
        <f t="shared" si="3"/>
        <v>91.339703822636665</v>
      </c>
      <c r="I58" s="308">
        <f t="shared" si="6"/>
        <v>6.5131702065402823</v>
      </c>
      <c r="J58" s="424"/>
    </row>
    <row r="59" spans="2:16">
      <c r="B59" s="416">
        <v>2015</v>
      </c>
      <c r="C59" s="299">
        <v>5806.91</v>
      </c>
      <c r="D59" s="317">
        <f t="shared" si="4"/>
        <v>3.0352107388928484</v>
      </c>
      <c r="E59" s="301">
        <v>4.3536358907672303</v>
      </c>
      <c r="F59" s="310">
        <v>1.5102685624012637</v>
      </c>
      <c r="G59" s="299">
        <f t="shared" si="5"/>
        <v>2073.406132697849</v>
      </c>
      <c r="H59" s="307">
        <f t="shared" si="3"/>
        <v>110.29135165095711</v>
      </c>
      <c r="I59" s="308">
        <f t="shared" si="6"/>
        <v>6.7851758581342638</v>
      </c>
      <c r="J59" s="425"/>
    </row>
    <row r="60" spans="2:16">
      <c r="B60" s="416">
        <v>2016</v>
      </c>
      <c r="C60" s="299">
        <v>5766.93</v>
      </c>
      <c r="D60" s="317">
        <f t="shared" si="4"/>
        <v>3.0143136136849606</v>
      </c>
      <c r="E60" s="301">
        <v>4.5243667100130001</v>
      </c>
      <c r="F60" s="310">
        <v>1.5387045813586098</v>
      </c>
      <c r="G60" s="299">
        <f t="shared" si="5"/>
        <v>1925.0457884621151</v>
      </c>
      <c r="H60" s="307">
        <f t="shared" si="3"/>
        <v>102.39957268922059</v>
      </c>
      <c r="I60" s="308">
        <f t="shared" si="6"/>
        <v>6.6780658847959522</v>
      </c>
      <c r="J60" s="425"/>
    </row>
  </sheetData>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37"/>
  <sheetViews>
    <sheetView zoomScale="70" zoomScaleNormal="70" zoomScalePageLayoutView="70" workbookViewId="0"/>
  </sheetViews>
  <sheetFormatPr defaultColWidth="10.6640625" defaultRowHeight="14.4"/>
  <cols>
    <col min="1" max="1" width="10.6640625" style="43"/>
    <col min="2" max="2" width="52.33203125" style="43" bestFit="1" customWidth="1"/>
    <col min="3" max="9" width="10.6640625" style="117"/>
    <col min="10" max="16384" width="10.6640625" style="43"/>
  </cols>
  <sheetData>
    <row r="2" spans="2:9">
      <c r="B2" s="147" t="s">
        <v>547</v>
      </c>
      <c r="C2" s="371">
        <v>1982</v>
      </c>
      <c r="D2" s="371">
        <v>1983</v>
      </c>
      <c r="E2" s="371">
        <v>1984</v>
      </c>
      <c r="F2" s="371">
        <v>1985</v>
      </c>
      <c r="G2" s="371">
        <v>1986</v>
      </c>
      <c r="H2" s="371">
        <v>1987</v>
      </c>
      <c r="I2" s="371">
        <v>1988</v>
      </c>
    </row>
    <row r="3" spans="2:9">
      <c r="B3" s="43" t="s">
        <v>533</v>
      </c>
      <c r="C3" s="117">
        <v>126</v>
      </c>
      <c r="D3" s="117">
        <v>126</v>
      </c>
      <c r="E3" s="117">
        <v>160</v>
      </c>
      <c r="F3" s="117">
        <v>160</v>
      </c>
      <c r="G3" s="117">
        <v>240</v>
      </c>
      <c r="H3" s="117">
        <v>240</v>
      </c>
      <c r="I3" s="117">
        <v>400</v>
      </c>
    </row>
    <row r="4" spans="2:9">
      <c r="B4" s="43" t="s">
        <v>537</v>
      </c>
      <c r="C4" s="117">
        <v>126</v>
      </c>
      <c r="D4" s="117">
        <v>126</v>
      </c>
      <c r="E4" s="117">
        <v>240</v>
      </c>
      <c r="F4" s="117" t="s">
        <v>544</v>
      </c>
      <c r="G4" s="117" t="s">
        <v>543</v>
      </c>
      <c r="H4" s="117">
        <v>550</v>
      </c>
      <c r="I4" s="117">
        <v>550</v>
      </c>
    </row>
    <row r="5" spans="2:9">
      <c r="B5" s="43" t="s">
        <v>539</v>
      </c>
      <c r="C5" s="117">
        <v>126</v>
      </c>
      <c r="D5" s="117">
        <v>126</v>
      </c>
      <c r="E5" s="117">
        <v>240</v>
      </c>
      <c r="F5" s="117" t="s">
        <v>544</v>
      </c>
      <c r="G5" s="117" t="s">
        <v>543</v>
      </c>
      <c r="H5" s="117" t="s">
        <v>543</v>
      </c>
      <c r="I5" s="117">
        <v>550</v>
      </c>
    </row>
    <row r="6" spans="2:9">
      <c r="B6" s="43" t="s">
        <v>550</v>
      </c>
      <c r="C6" s="117">
        <v>160</v>
      </c>
      <c r="D6" s="117">
        <v>160</v>
      </c>
      <c r="E6" s="117">
        <v>240</v>
      </c>
      <c r="F6" s="117">
        <v>240</v>
      </c>
      <c r="G6" s="117">
        <v>240</v>
      </c>
      <c r="H6" s="117" t="s">
        <v>543</v>
      </c>
      <c r="I6" s="117" t="s">
        <v>543</v>
      </c>
    </row>
    <row r="7" spans="2:9">
      <c r="B7" s="43" t="s">
        <v>549</v>
      </c>
      <c r="C7" s="117">
        <v>160</v>
      </c>
      <c r="D7" s="117">
        <v>160</v>
      </c>
      <c r="E7" s="117">
        <v>240</v>
      </c>
      <c r="F7" s="117">
        <v>240</v>
      </c>
      <c r="G7" s="117">
        <v>240</v>
      </c>
      <c r="H7" s="117" t="s">
        <v>543</v>
      </c>
      <c r="I7" s="117" t="s">
        <v>543</v>
      </c>
    </row>
    <row r="8" spans="2:9">
      <c r="B8" s="43" t="s">
        <v>536</v>
      </c>
      <c r="C8" s="117">
        <v>126</v>
      </c>
      <c r="D8" s="117">
        <v>126</v>
      </c>
      <c r="E8" s="117">
        <v>240</v>
      </c>
      <c r="F8" s="117">
        <v>240</v>
      </c>
      <c r="G8" s="117">
        <v>240</v>
      </c>
      <c r="H8" s="117">
        <v>550</v>
      </c>
      <c r="I8" s="117">
        <v>550</v>
      </c>
    </row>
    <row r="9" spans="2:9">
      <c r="B9" s="43" t="s">
        <v>535</v>
      </c>
      <c r="C9" s="117">
        <v>126</v>
      </c>
      <c r="D9" s="117">
        <v>126</v>
      </c>
      <c r="E9" s="117">
        <v>160</v>
      </c>
      <c r="F9" s="117">
        <v>160</v>
      </c>
      <c r="G9" s="117" t="s">
        <v>545</v>
      </c>
      <c r="H9" s="117" t="s">
        <v>546</v>
      </c>
      <c r="I9" s="117">
        <v>400</v>
      </c>
    </row>
    <row r="10" spans="2:9">
      <c r="B10" s="43" t="s">
        <v>534</v>
      </c>
      <c r="C10" s="117">
        <v>126</v>
      </c>
      <c r="D10" s="117" t="s">
        <v>542</v>
      </c>
      <c r="E10" s="117">
        <v>240</v>
      </c>
      <c r="F10" s="117">
        <v>160</v>
      </c>
      <c r="G10" s="117">
        <v>240</v>
      </c>
      <c r="H10" s="117">
        <v>400</v>
      </c>
      <c r="I10" s="117">
        <v>400</v>
      </c>
    </row>
    <row r="11" spans="2:9">
      <c r="B11" s="43" t="s">
        <v>538</v>
      </c>
      <c r="C11" s="117">
        <v>126</v>
      </c>
      <c r="D11" s="117">
        <v>126</v>
      </c>
      <c r="E11" s="117">
        <v>160</v>
      </c>
      <c r="F11" s="117">
        <v>240</v>
      </c>
      <c r="G11" s="117">
        <v>240</v>
      </c>
      <c r="H11" s="117">
        <v>240</v>
      </c>
      <c r="I11" s="117">
        <v>400</v>
      </c>
    </row>
    <row r="12" spans="2:9">
      <c r="B12" s="43" t="s">
        <v>540</v>
      </c>
      <c r="C12" s="117">
        <v>160</v>
      </c>
      <c r="D12" s="117">
        <v>160</v>
      </c>
      <c r="E12" s="117" t="s">
        <v>543</v>
      </c>
      <c r="F12" s="117" t="s">
        <v>543</v>
      </c>
      <c r="G12" s="117" t="s">
        <v>543</v>
      </c>
      <c r="H12" s="117" t="s">
        <v>543</v>
      </c>
      <c r="I12" s="117" t="s">
        <v>543</v>
      </c>
    </row>
    <row r="13" spans="2:9">
      <c r="B13" s="43" t="s">
        <v>551</v>
      </c>
      <c r="C13" s="117">
        <v>126</v>
      </c>
      <c r="D13" s="117">
        <v>126</v>
      </c>
      <c r="E13" s="117">
        <v>160</v>
      </c>
      <c r="F13" s="117">
        <v>240</v>
      </c>
      <c r="G13" s="117">
        <v>240</v>
      </c>
      <c r="H13" s="117">
        <v>400</v>
      </c>
      <c r="I13" s="117">
        <v>400</v>
      </c>
    </row>
    <row r="14" spans="2:9">
      <c r="B14" s="43" t="s">
        <v>548</v>
      </c>
      <c r="C14" s="117">
        <v>126</v>
      </c>
      <c r="D14" s="117">
        <v>126</v>
      </c>
      <c r="E14" s="117">
        <v>240</v>
      </c>
      <c r="F14" s="117">
        <v>240</v>
      </c>
      <c r="G14" s="117">
        <v>240</v>
      </c>
      <c r="H14" s="117">
        <v>400</v>
      </c>
      <c r="I14" s="117">
        <v>400</v>
      </c>
    </row>
    <row r="15" spans="2:9">
      <c r="B15" s="43" t="s">
        <v>552</v>
      </c>
      <c r="C15" s="117">
        <v>160</v>
      </c>
      <c r="D15" s="117">
        <v>160</v>
      </c>
      <c r="E15" s="117" t="s">
        <v>543</v>
      </c>
      <c r="F15" s="117" t="s">
        <v>543</v>
      </c>
      <c r="G15" s="117" t="s">
        <v>543</v>
      </c>
      <c r="H15" s="117" t="s">
        <v>543</v>
      </c>
      <c r="I15" s="117" t="s">
        <v>543</v>
      </c>
    </row>
    <row r="16" spans="2:9">
      <c r="B16" s="43" t="s">
        <v>541</v>
      </c>
      <c r="C16" s="117">
        <v>160</v>
      </c>
      <c r="D16" s="117">
        <v>160</v>
      </c>
      <c r="E16" s="117">
        <v>240</v>
      </c>
      <c r="F16" s="117">
        <v>240</v>
      </c>
      <c r="G16" s="117">
        <v>240</v>
      </c>
      <c r="H16" s="117" t="s">
        <v>543</v>
      </c>
      <c r="I16" s="117" t="s">
        <v>543</v>
      </c>
    </row>
    <row r="20" spans="2:15">
      <c r="B20" s="147" t="s">
        <v>547</v>
      </c>
      <c r="C20" s="371">
        <v>1982</v>
      </c>
      <c r="D20" s="371">
        <v>1983</v>
      </c>
      <c r="E20" s="371">
        <v>1984</v>
      </c>
      <c r="F20" s="371">
        <v>1985</v>
      </c>
      <c r="G20" s="371">
        <v>1986</v>
      </c>
      <c r="H20" s="371">
        <v>1987</v>
      </c>
      <c r="I20" s="371">
        <v>1988</v>
      </c>
    </row>
    <row r="21" spans="2:15">
      <c r="B21" s="43" t="s">
        <v>533</v>
      </c>
      <c r="C21" s="117">
        <v>126</v>
      </c>
      <c r="D21" s="117">
        <v>126</v>
      </c>
      <c r="E21" s="117">
        <v>160</v>
      </c>
      <c r="F21" s="117">
        <v>160</v>
      </c>
      <c r="G21" s="117">
        <v>240</v>
      </c>
      <c r="H21" s="117">
        <v>240</v>
      </c>
      <c r="I21" s="117">
        <v>400</v>
      </c>
    </row>
    <row r="22" spans="2:15">
      <c r="C22" s="371"/>
      <c r="D22" s="371"/>
      <c r="E22" s="371"/>
      <c r="F22" s="371"/>
      <c r="G22" s="371"/>
      <c r="H22" s="371"/>
      <c r="I22" s="371"/>
    </row>
    <row r="23" spans="2:15">
      <c r="B23" s="43" t="s">
        <v>554</v>
      </c>
      <c r="C23" s="117">
        <v>160</v>
      </c>
      <c r="D23" s="117">
        <v>160</v>
      </c>
      <c r="E23" s="117">
        <v>240</v>
      </c>
      <c r="F23" s="117">
        <v>240</v>
      </c>
      <c r="G23" s="315">
        <v>240</v>
      </c>
      <c r="H23" s="315">
        <v>807.25</v>
      </c>
      <c r="I23" s="315">
        <v>807.25</v>
      </c>
    </row>
    <row r="24" spans="2:15">
      <c r="B24" s="43" t="s">
        <v>555</v>
      </c>
      <c r="C24" s="117">
        <v>126</v>
      </c>
      <c r="D24" s="117">
        <v>126</v>
      </c>
      <c r="E24" s="117">
        <v>240</v>
      </c>
      <c r="F24" s="117">
        <v>240</v>
      </c>
      <c r="G24" s="315">
        <v>240</v>
      </c>
      <c r="H24" s="315">
        <v>550</v>
      </c>
      <c r="I24" s="315">
        <v>550</v>
      </c>
    </row>
    <row r="25" spans="2:15">
      <c r="B25" s="43" t="s">
        <v>556</v>
      </c>
      <c r="C25" s="117">
        <v>160</v>
      </c>
      <c r="D25" s="117">
        <v>160</v>
      </c>
      <c r="E25" s="117">
        <v>240</v>
      </c>
      <c r="F25" s="117">
        <v>240</v>
      </c>
      <c r="G25" s="315">
        <v>240</v>
      </c>
      <c r="H25" s="315">
        <v>807.25</v>
      </c>
      <c r="I25" s="315">
        <v>807.25</v>
      </c>
    </row>
    <row r="26" spans="2:15">
      <c r="B26" s="43" t="s">
        <v>557</v>
      </c>
      <c r="C26" s="117">
        <v>126</v>
      </c>
      <c r="D26" s="117">
        <v>126</v>
      </c>
      <c r="E26" s="117">
        <v>160</v>
      </c>
      <c r="F26" s="117">
        <v>160</v>
      </c>
      <c r="G26" s="315">
        <f>+AVERAGE(H35:H36)</f>
        <v>200</v>
      </c>
      <c r="H26" s="315">
        <f>+AVERAGE(I35:I36)</f>
        <v>280</v>
      </c>
      <c r="I26" s="315">
        <v>400</v>
      </c>
    </row>
    <row r="27" spans="2:15">
      <c r="B27" s="43" t="s">
        <v>553</v>
      </c>
      <c r="C27" s="316">
        <v>205.66666666666666</v>
      </c>
      <c r="D27" s="316">
        <v>320.75</v>
      </c>
      <c r="E27" s="316">
        <v>388.25</v>
      </c>
      <c r="F27" s="315">
        <v>612.5</v>
      </c>
      <c r="G27" s="315">
        <v>702.5</v>
      </c>
      <c r="H27" s="315">
        <v>807.25</v>
      </c>
      <c r="I27" s="315">
        <v>807.25</v>
      </c>
    </row>
    <row r="29" spans="2:15">
      <c r="B29" s="43" t="s">
        <v>534</v>
      </c>
      <c r="C29" s="117">
        <v>126</v>
      </c>
      <c r="D29" s="117" t="s">
        <v>542</v>
      </c>
      <c r="E29" s="117">
        <v>240</v>
      </c>
      <c r="F29" s="117">
        <v>160</v>
      </c>
      <c r="G29" s="117">
        <v>240</v>
      </c>
      <c r="H29" s="117">
        <v>400</v>
      </c>
      <c r="I29" s="117">
        <v>400</v>
      </c>
    </row>
    <row r="30" spans="2:15">
      <c r="B30" s="43" t="s">
        <v>538</v>
      </c>
      <c r="C30" s="117">
        <v>126</v>
      </c>
      <c r="D30" s="117">
        <v>126</v>
      </c>
      <c r="E30" s="117">
        <v>160</v>
      </c>
      <c r="F30" s="117">
        <v>240</v>
      </c>
      <c r="G30" s="117">
        <v>240</v>
      </c>
      <c r="H30" s="117">
        <v>240</v>
      </c>
      <c r="I30" s="117">
        <v>400</v>
      </c>
      <c r="K30" s="43" t="s">
        <v>551</v>
      </c>
      <c r="L30" s="43" t="s">
        <v>534</v>
      </c>
      <c r="M30" s="43" t="s">
        <v>538</v>
      </c>
      <c r="N30" s="43" t="s">
        <v>557</v>
      </c>
      <c r="O30" s="43" t="s">
        <v>553</v>
      </c>
    </row>
    <row r="31" spans="2:15">
      <c r="B31" s="43" t="s">
        <v>551</v>
      </c>
      <c r="C31" s="117">
        <v>126</v>
      </c>
      <c r="D31" s="117">
        <v>126</v>
      </c>
      <c r="E31" s="117">
        <v>160</v>
      </c>
      <c r="F31" s="117">
        <v>240</v>
      </c>
      <c r="G31" s="117">
        <v>240</v>
      </c>
      <c r="H31" s="117">
        <v>400</v>
      </c>
      <c r="I31" s="117">
        <v>400</v>
      </c>
      <c r="K31" s="117">
        <v>126</v>
      </c>
      <c r="L31" s="117">
        <v>126</v>
      </c>
      <c r="M31" s="117">
        <v>126</v>
      </c>
      <c r="N31" s="117">
        <v>126</v>
      </c>
      <c r="O31" s="43">
        <v>205.66666666666666</v>
      </c>
    </row>
    <row r="32" spans="2:15">
      <c r="B32" s="43" t="s">
        <v>548</v>
      </c>
      <c r="C32" s="117">
        <v>126</v>
      </c>
      <c r="D32" s="117">
        <v>126</v>
      </c>
      <c r="E32" s="117">
        <v>240</v>
      </c>
      <c r="F32" s="117">
        <v>240</v>
      </c>
      <c r="G32" s="117">
        <v>240</v>
      </c>
      <c r="H32" s="117">
        <v>400</v>
      </c>
      <c r="I32" s="117">
        <v>400</v>
      </c>
      <c r="K32" s="117">
        <v>126</v>
      </c>
      <c r="L32" s="117" t="s">
        <v>542</v>
      </c>
      <c r="M32" s="117">
        <v>126</v>
      </c>
      <c r="N32" s="117">
        <v>126</v>
      </c>
      <c r="O32" s="43">
        <v>320.75</v>
      </c>
    </row>
    <row r="33" spans="2:15">
      <c r="B33" s="43" t="s">
        <v>537</v>
      </c>
      <c r="C33" s="117">
        <v>126</v>
      </c>
      <c r="D33" s="117">
        <v>126</v>
      </c>
      <c r="E33" s="117">
        <v>240</v>
      </c>
      <c r="F33" s="117" t="s">
        <v>544</v>
      </c>
      <c r="G33" s="117">
        <v>703</v>
      </c>
      <c r="H33" s="117">
        <v>550</v>
      </c>
      <c r="I33" s="117">
        <v>550</v>
      </c>
      <c r="K33" s="117">
        <v>160</v>
      </c>
      <c r="L33" s="117">
        <v>240</v>
      </c>
      <c r="M33" s="117">
        <v>160</v>
      </c>
      <c r="N33" s="117">
        <v>160</v>
      </c>
      <c r="O33" s="43">
        <v>388.25</v>
      </c>
    </row>
    <row r="34" spans="2:15">
      <c r="B34" s="43" t="s">
        <v>539</v>
      </c>
      <c r="C34" s="117">
        <v>126</v>
      </c>
      <c r="D34" s="117">
        <v>126</v>
      </c>
      <c r="E34" s="117">
        <v>240</v>
      </c>
      <c r="F34" s="117" t="s">
        <v>544</v>
      </c>
      <c r="G34" s="117" t="s">
        <v>543</v>
      </c>
      <c r="H34" s="117" t="s">
        <v>543</v>
      </c>
      <c r="I34" s="117">
        <v>550</v>
      </c>
      <c r="K34" s="117">
        <v>240</v>
      </c>
      <c r="L34" s="117">
        <v>160</v>
      </c>
      <c r="M34" s="117">
        <v>240</v>
      </c>
      <c r="N34" s="117">
        <v>160</v>
      </c>
      <c r="O34" s="43">
        <v>612.5</v>
      </c>
    </row>
    <row r="35" spans="2:15">
      <c r="H35" s="117">
        <v>160</v>
      </c>
      <c r="I35" s="117">
        <v>240</v>
      </c>
      <c r="K35" s="117">
        <v>240</v>
      </c>
      <c r="L35" s="117">
        <v>240</v>
      </c>
      <c r="M35" s="117">
        <v>240</v>
      </c>
      <c r="N35" s="315">
        <v>200</v>
      </c>
      <c r="O35" s="43">
        <v>702.5</v>
      </c>
    </row>
    <row r="36" spans="2:15">
      <c r="H36" s="117">
        <v>240</v>
      </c>
      <c r="I36" s="117">
        <v>320</v>
      </c>
      <c r="K36" s="117">
        <v>400</v>
      </c>
      <c r="L36" s="117">
        <v>400</v>
      </c>
      <c r="M36" s="117">
        <v>240</v>
      </c>
      <c r="N36" s="315">
        <v>280</v>
      </c>
      <c r="O36" s="43">
        <v>807.25</v>
      </c>
    </row>
    <row r="37" spans="2:15">
      <c r="K37" s="117">
        <v>400</v>
      </c>
      <c r="L37" s="117">
        <v>400</v>
      </c>
      <c r="M37" s="117">
        <v>400</v>
      </c>
      <c r="N37" s="315">
        <v>400</v>
      </c>
      <c r="O37" s="43">
        <v>807.25</v>
      </c>
    </row>
  </sheetData>
  <sortState ref="B3:I16">
    <sortCondition ref="B4"/>
  </sortState>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63"/>
  <sheetViews>
    <sheetView zoomScale="70" zoomScaleNormal="70" zoomScalePageLayoutView="50" workbookViewId="0"/>
  </sheetViews>
  <sheetFormatPr defaultColWidth="10.6640625" defaultRowHeight="14.4"/>
  <cols>
    <col min="1" max="1" width="13.6640625" style="403" customWidth="1"/>
    <col min="2" max="2" width="10.6640625" style="401"/>
    <col min="3" max="6" width="19" style="402" customWidth="1"/>
    <col min="7" max="12" width="19" style="220" customWidth="1"/>
    <col min="13" max="16384" width="10.6640625" style="43"/>
  </cols>
  <sheetData>
    <row r="2" spans="1:12">
      <c r="C2" s="453" t="s">
        <v>606</v>
      </c>
      <c r="D2" s="453"/>
    </row>
    <row r="3" spans="1:12" s="147" customFormat="1" ht="29.4" thickBot="1">
      <c r="A3" s="404"/>
      <c r="B3" s="408"/>
      <c r="C3" s="371" t="s">
        <v>593</v>
      </c>
      <c r="D3" s="405" t="s">
        <v>594</v>
      </c>
      <c r="E3" s="405" t="s">
        <v>579</v>
      </c>
      <c r="F3" s="405" t="s">
        <v>595</v>
      </c>
      <c r="L3" s="14"/>
    </row>
    <row r="4" spans="1:12" s="147" customFormat="1" ht="15.6" thickTop="1" thickBot="1">
      <c r="A4" s="404"/>
      <c r="B4" s="423" t="s">
        <v>88</v>
      </c>
      <c r="C4" s="423" t="s">
        <v>568</v>
      </c>
      <c r="D4" s="423" t="s">
        <v>568</v>
      </c>
      <c r="E4" s="423" t="s">
        <v>568</v>
      </c>
      <c r="F4" s="423" t="s">
        <v>569</v>
      </c>
      <c r="L4" s="14"/>
    </row>
    <row r="5" spans="1:12" ht="15" thickTop="1">
      <c r="B5" s="266">
        <v>1960</v>
      </c>
      <c r="C5" s="406">
        <v>1227</v>
      </c>
      <c r="D5" s="402">
        <v>1674</v>
      </c>
      <c r="E5" s="299">
        <v>31981.901037491996</v>
      </c>
      <c r="F5" s="407">
        <f t="shared" ref="F5:F36" si="0">(C5+D5)/E5</f>
        <v>9.0707553519072948E-2</v>
      </c>
    </row>
    <row r="6" spans="1:12">
      <c r="B6" s="266">
        <v>1961</v>
      </c>
      <c r="C6" s="406">
        <v>1832</v>
      </c>
      <c r="D6" s="402">
        <v>35</v>
      </c>
      <c r="E6" s="299">
        <v>36474.200093024279</v>
      </c>
      <c r="F6" s="407">
        <f t="shared" si="0"/>
        <v>5.1186866202367114E-2</v>
      </c>
    </row>
    <row r="7" spans="1:12">
      <c r="B7" s="266">
        <v>1962</v>
      </c>
      <c r="C7" s="406">
        <v>2000</v>
      </c>
      <c r="D7" s="402">
        <v>416</v>
      </c>
      <c r="E7" s="299">
        <v>40850.90635601955</v>
      </c>
      <c r="F7" s="407">
        <f t="shared" si="0"/>
        <v>5.9141894648415613E-2</v>
      </c>
    </row>
    <row r="8" spans="1:12">
      <c r="B8" s="266">
        <v>1963</v>
      </c>
      <c r="C8" s="406">
        <v>2188</v>
      </c>
      <c r="D8" s="402">
        <v>824</v>
      </c>
      <c r="E8" s="299">
        <v>43439.426657305405</v>
      </c>
      <c r="F8" s="407">
        <f t="shared" si="0"/>
        <v>6.9337931731045493E-2</v>
      </c>
    </row>
    <row r="9" spans="1:12">
      <c r="B9" s="266">
        <v>1964</v>
      </c>
      <c r="C9" s="406">
        <v>2683</v>
      </c>
      <c r="D9" s="402">
        <v>1150</v>
      </c>
      <c r="E9" s="299">
        <v>46286.816862199667</v>
      </c>
      <c r="F9" s="407">
        <f t="shared" si="0"/>
        <v>8.2809755775844596E-2</v>
      </c>
    </row>
    <row r="10" spans="1:12">
      <c r="B10" s="266">
        <v>1965</v>
      </c>
      <c r="C10" s="406">
        <v>3038</v>
      </c>
      <c r="D10" s="402">
        <v>1718</v>
      </c>
      <c r="E10" s="299">
        <v>50416.341077094468</v>
      </c>
      <c r="F10" s="407">
        <f t="shared" si="0"/>
        <v>9.4334493507320025E-2</v>
      </c>
    </row>
    <row r="11" spans="1:12">
      <c r="B11" s="266">
        <v>1966</v>
      </c>
      <c r="C11" s="406">
        <v>3502</v>
      </c>
      <c r="D11" s="402">
        <v>2550</v>
      </c>
      <c r="E11" s="299">
        <v>53134.255667617959</v>
      </c>
      <c r="F11" s="407">
        <f t="shared" si="0"/>
        <v>0.11390015582147921</v>
      </c>
    </row>
    <row r="12" spans="1:12">
      <c r="B12" s="266">
        <v>1967</v>
      </c>
      <c r="C12" s="406">
        <v>4422</v>
      </c>
      <c r="D12" s="402">
        <v>3356</v>
      </c>
      <c r="E12" s="299">
        <v>56892.039691923026</v>
      </c>
      <c r="F12" s="407">
        <f t="shared" si="0"/>
        <v>0.13671508425640511</v>
      </c>
    </row>
    <row r="13" spans="1:12">
      <c r="B13" s="266">
        <v>1968</v>
      </c>
      <c r="C13" s="406">
        <v>5148</v>
      </c>
      <c r="D13" s="402">
        <v>3911</v>
      </c>
      <c r="E13" s="299">
        <v>60103.576598544991</v>
      </c>
      <c r="F13" s="407">
        <f t="shared" si="0"/>
        <v>0.15072314349125279</v>
      </c>
    </row>
    <row r="14" spans="1:12">
      <c r="B14" s="266">
        <v>1969</v>
      </c>
      <c r="C14" s="406">
        <v>6034</v>
      </c>
      <c r="D14" s="402">
        <v>5556</v>
      </c>
      <c r="E14" s="299">
        <v>64603.847218767427</v>
      </c>
      <c r="F14" s="407">
        <f t="shared" si="0"/>
        <v>0.17940108056959653</v>
      </c>
    </row>
    <row r="15" spans="1:12">
      <c r="B15" s="266">
        <v>1970</v>
      </c>
      <c r="C15" s="406">
        <v>6874</v>
      </c>
      <c r="D15" s="402">
        <v>6575</v>
      </c>
      <c r="E15" s="299">
        <v>69143.520389176221</v>
      </c>
      <c r="F15" s="407">
        <f t="shared" si="0"/>
        <v>0.19450846477445652</v>
      </c>
    </row>
    <row r="16" spans="1:12">
      <c r="B16" s="266">
        <v>1971</v>
      </c>
      <c r="C16" s="406">
        <v>7761</v>
      </c>
      <c r="D16" s="402">
        <v>7335</v>
      </c>
      <c r="E16" s="299">
        <v>76739.957949324438</v>
      </c>
      <c r="F16" s="407">
        <f t="shared" si="0"/>
        <v>0.19671629231239232</v>
      </c>
    </row>
    <row r="17" spans="1:17">
      <c r="B17" s="266">
        <v>1972</v>
      </c>
      <c r="C17" s="406">
        <v>8463</v>
      </c>
      <c r="D17" s="402">
        <v>8468</v>
      </c>
      <c r="E17" s="299">
        <v>87858.757669864892</v>
      </c>
      <c r="F17" s="407">
        <f t="shared" si="0"/>
        <v>0.19270702715396176</v>
      </c>
    </row>
    <row r="18" spans="1:17" s="220" customFormat="1">
      <c r="A18" s="403"/>
      <c r="B18" s="266">
        <v>1973</v>
      </c>
      <c r="C18" s="406">
        <v>10845</v>
      </c>
      <c r="D18" s="402">
        <v>9805</v>
      </c>
      <c r="E18" s="299">
        <v>112058.98952764735</v>
      </c>
      <c r="F18" s="407">
        <f t="shared" si="0"/>
        <v>0.18427794224313618</v>
      </c>
      <c r="M18" s="43"/>
      <c r="N18" s="43"/>
      <c r="O18" s="43"/>
      <c r="P18" s="43"/>
      <c r="Q18" s="43"/>
    </row>
    <row r="19" spans="1:17" s="220" customFormat="1">
      <c r="A19" s="403"/>
      <c r="B19" s="266">
        <v>1974</v>
      </c>
      <c r="C19" s="406">
        <v>12889</v>
      </c>
      <c r="D19" s="402">
        <v>11525</v>
      </c>
      <c r="E19" s="299">
        <v>151151.99149675915</v>
      </c>
      <c r="F19" s="407">
        <f t="shared" si="0"/>
        <v>0.1615195390960063</v>
      </c>
      <c r="M19" s="43"/>
      <c r="N19" s="43"/>
      <c r="O19" s="43"/>
      <c r="P19" s="43"/>
      <c r="Q19" s="43"/>
    </row>
    <row r="20" spans="1:17" s="220" customFormat="1">
      <c r="A20" s="403"/>
      <c r="B20" s="266">
        <v>1975</v>
      </c>
      <c r="C20" s="406">
        <v>16432</v>
      </c>
      <c r="D20" s="402">
        <v>12380</v>
      </c>
      <c r="E20" s="299">
        <v>170338.06477592592</v>
      </c>
      <c r="F20" s="407">
        <f t="shared" si="0"/>
        <v>0.1691459864705005</v>
      </c>
      <c r="M20" s="43"/>
      <c r="N20" s="43"/>
      <c r="O20" s="43"/>
      <c r="P20" s="43"/>
      <c r="Q20" s="43"/>
    </row>
    <row r="21" spans="1:17" s="220" customFormat="1">
      <c r="A21" s="403"/>
      <c r="B21" s="266">
        <v>1976</v>
      </c>
      <c r="C21" s="406">
        <v>19972</v>
      </c>
      <c r="D21" s="402">
        <v>14261</v>
      </c>
      <c r="E21" s="299">
        <v>194143.3509485957</v>
      </c>
      <c r="F21" s="407">
        <f t="shared" si="0"/>
        <v>0.17632846982776165</v>
      </c>
      <c r="M21" s="43"/>
      <c r="N21" s="43"/>
      <c r="O21" s="43"/>
      <c r="P21" s="43"/>
      <c r="Q21" s="43"/>
    </row>
    <row r="22" spans="1:17" s="220" customFormat="1">
      <c r="A22" s="403"/>
      <c r="B22" s="266">
        <v>1977</v>
      </c>
      <c r="C22" s="406">
        <v>26817</v>
      </c>
      <c r="D22" s="402">
        <v>15633</v>
      </c>
      <c r="E22" s="299">
        <v>240956.52083487576</v>
      </c>
      <c r="F22" s="407">
        <f t="shared" si="0"/>
        <v>0.17617286244388633</v>
      </c>
      <c r="M22" s="43"/>
      <c r="N22" s="43"/>
      <c r="O22" s="43"/>
      <c r="P22" s="43"/>
      <c r="Q22" s="43"/>
    </row>
    <row r="23" spans="1:17" s="220" customFormat="1">
      <c r="A23" s="403"/>
      <c r="B23" s="266">
        <v>1978</v>
      </c>
      <c r="C23" s="406">
        <v>38960</v>
      </c>
      <c r="D23" s="402">
        <v>17555</v>
      </c>
      <c r="E23" s="299">
        <v>296141.47375463031</v>
      </c>
      <c r="F23" s="407">
        <f t="shared" si="0"/>
        <v>0.19083784274952931</v>
      </c>
      <c r="M23" s="43"/>
      <c r="N23" s="43"/>
      <c r="O23" s="43"/>
      <c r="P23" s="43"/>
      <c r="Q23" s="43"/>
    </row>
    <row r="24" spans="1:17" s="220" customFormat="1">
      <c r="A24" s="403"/>
      <c r="B24" s="266">
        <v>1979</v>
      </c>
      <c r="C24" s="406">
        <v>51307</v>
      </c>
      <c r="D24" s="402">
        <v>19036</v>
      </c>
      <c r="E24" s="299">
        <v>395025.60881821497</v>
      </c>
      <c r="F24" s="407">
        <f t="shared" si="0"/>
        <v>0.17807199945958649</v>
      </c>
      <c r="M24" s="43"/>
      <c r="N24" s="43"/>
      <c r="O24" s="43"/>
      <c r="P24" s="43"/>
      <c r="Q24" s="43"/>
    </row>
    <row r="25" spans="1:17" s="220" customFormat="1">
      <c r="A25" s="403"/>
      <c r="B25" s="266">
        <v>1980</v>
      </c>
      <c r="C25" s="406">
        <v>73746</v>
      </c>
      <c r="D25" s="402">
        <v>20764</v>
      </c>
      <c r="E25" s="299">
        <v>515946.12150783779</v>
      </c>
      <c r="F25" s="407">
        <f t="shared" si="0"/>
        <v>0.18317804138889004</v>
      </c>
      <c r="M25" s="43"/>
      <c r="N25" s="43"/>
      <c r="O25" s="43"/>
      <c r="P25" s="43"/>
      <c r="Q25" s="43"/>
    </row>
    <row r="26" spans="1:17" s="220" customFormat="1">
      <c r="A26" s="403"/>
      <c r="B26" s="266">
        <v>1981</v>
      </c>
      <c r="C26" s="406">
        <v>83398</v>
      </c>
      <c r="D26" s="402">
        <v>26087</v>
      </c>
      <c r="E26" s="299">
        <v>657659.11807549722</v>
      </c>
      <c r="F26" s="407">
        <f t="shared" si="0"/>
        <v>0.16647682209650663</v>
      </c>
      <c r="M26" s="43"/>
      <c r="N26" s="43"/>
      <c r="O26" s="43"/>
      <c r="P26" s="43"/>
      <c r="Q26" s="43"/>
    </row>
    <row r="27" spans="1:17" s="220" customFormat="1">
      <c r="A27" s="403"/>
      <c r="B27" s="266">
        <v>1982</v>
      </c>
      <c r="C27" s="406">
        <v>90355</v>
      </c>
      <c r="D27" s="402">
        <v>30469</v>
      </c>
      <c r="E27" s="299">
        <v>689173.20032844727</v>
      </c>
      <c r="F27" s="407">
        <f t="shared" si="0"/>
        <v>0.17531732218028429</v>
      </c>
      <c r="M27" s="43"/>
      <c r="N27" s="43"/>
      <c r="O27" s="43"/>
      <c r="P27" s="43"/>
      <c r="Q27" s="43"/>
    </row>
    <row r="28" spans="1:17" s="220" customFormat="1">
      <c r="A28" s="403"/>
      <c r="B28" s="266">
        <v>1983</v>
      </c>
      <c r="C28" s="406">
        <v>92541</v>
      </c>
      <c r="D28" s="402">
        <v>33484</v>
      </c>
      <c r="E28" s="299">
        <v>764665.15118325572</v>
      </c>
      <c r="F28" s="407">
        <f t="shared" si="0"/>
        <v>0.16481070152731139</v>
      </c>
      <c r="M28" s="43"/>
      <c r="N28" s="43"/>
      <c r="O28" s="43"/>
      <c r="P28" s="43"/>
      <c r="Q28" s="43"/>
    </row>
    <row r="29" spans="1:17" s="220" customFormat="1">
      <c r="A29" s="403"/>
      <c r="B29" s="266">
        <v>1984</v>
      </c>
      <c r="C29" s="406">
        <v>109237</v>
      </c>
      <c r="D29" s="402">
        <v>41737</v>
      </c>
      <c r="E29" s="299">
        <v>991182.09136330104</v>
      </c>
      <c r="F29" s="407">
        <f t="shared" si="0"/>
        <v>0.15231711843415766</v>
      </c>
      <c r="M29" s="43"/>
      <c r="N29" s="43"/>
      <c r="O29" s="43"/>
      <c r="P29" s="43"/>
      <c r="Q29" s="43"/>
    </row>
    <row r="30" spans="1:17" s="220" customFormat="1">
      <c r="A30" s="403"/>
      <c r="B30" s="266">
        <v>1985</v>
      </c>
      <c r="C30" s="406">
        <v>117533</v>
      </c>
      <c r="D30" s="402">
        <v>46359</v>
      </c>
      <c r="E30" s="299">
        <v>1307219.3706242959</v>
      </c>
      <c r="F30" s="407">
        <f t="shared" si="0"/>
        <v>0.12537451913807643</v>
      </c>
      <c r="M30" s="43"/>
      <c r="N30" s="43"/>
      <c r="O30" s="43"/>
      <c r="P30" s="43"/>
      <c r="Q30" s="43"/>
    </row>
    <row r="31" spans="1:17" s="220" customFormat="1">
      <c r="A31" s="403"/>
      <c r="B31" s="266">
        <v>1986</v>
      </c>
      <c r="C31" s="406">
        <v>160670</v>
      </c>
      <c r="D31" s="402">
        <v>64026</v>
      </c>
      <c r="E31" s="299">
        <v>1779709.348981041</v>
      </c>
      <c r="F31" s="407">
        <f t="shared" si="0"/>
        <v>0.12625432356617555</v>
      </c>
      <c r="M31" s="43"/>
      <c r="N31" s="43"/>
      <c r="O31" s="43"/>
      <c r="P31" s="43"/>
      <c r="Q31" s="43"/>
    </row>
    <row r="32" spans="1:17" s="220" customFormat="1">
      <c r="A32" s="403"/>
      <c r="B32" s="266">
        <v>1987</v>
      </c>
      <c r="C32" s="406">
        <v>203510</v>
      </c>
      <c r="D32" s="402">
        <v>73967</v>
      </c>
      <c r="E32" s="299">
        <v>2523915.3420047355</v>
      </c>
      <c r="F32" s="407">
        <f t="shared" si="0"/>
        <v>0.10993910745817694</v>
      </c>
      <c r="M32" s="43"/>
      <c r="N32" s="43"/>
      <c r="O32" s="43"/>
      <c r="P32" s="43"/>
      <c r="Q32" s="43"/>
    </row>
    <row r="33" spans="1:17" s="220" customFormat="1">
      <c r="A33" s="403"/>
      <c r="B33" s="266">
        <v>1988</v>
      </c>
      <c r="C33" s="406">
        <v>259920</v>
      </c>
      <c r="D33" s="402">
        <v>90119</v>
      </c>
      <c r="E33" s="299">
        <v>3429405.8003171985</v>
      </c>
      <c r="F33" s="407">
        <f t="shared" si="0"/>
        <v>0.10206986877074262</v>
      </c>
      <c r="M33" s="43"/>
      <c r="N33" s="43"/>
      <c r="O33" s="43"/>
      <c r="P33" s="43"/>
      <c r="Q33" s="43"/>
    </row>
    <row r="34" spans="1:17" s="220" customFormat="1">
      <c r="A34" s="403"/>
      <c r="B34" s="266">
        <v>1989</v>
      </c>
      <c r="C34" s="406">
        <v>374869</v>
      </c>
      <c r="D34" s="402">
        <v>120175</v>
      </c>
      <c r="E34" s="299">
        <v>4858488.9672426693</v>
      </c>
      <c r="F34" s="407">
        <f t="shared" si="0"/>
        <v>0.10189258498634639</v>
      </c>
      <c r="M34" s="43"/>
      <c r="N34" s="43"/>
      <c r="O34" s="43"/>
      <c r="P34" s="43"/>
      <c r="Q34" s="43"/>
    </row>
    <row r="35" spans="1:17" s="220" customFormat="1">
      <c r="A35" s="403"/>
      <c r="B35" s="266">
        <v>1990</v>
      </c>
      <c r="C35" s="406">
        <v>525760</v>
      </c>
      <c r="D35" s="402">
        <v>146800</v>
      </c>
      <c r="E35" s="299">
        <v>7003958.8827211782</v>
      </c>
      <c r="F35" s="407">
        <f t="shared" si="0"/>
        <v>9.6025692220896783E-2</v>
      </c>
      <c r="M35" s="43"/>
      <c r="N35" s="43"/>
      <c r="O35" s="43"/>
      <c r="P35" s="43"/>
      <c r="Q35" s="43"/>
    </row>
    <row r="36" spans="1:17" s="220" customFormat="1">
      <c r="A36" s="403"/>
      <c r="B36" s="266">
        <v>1991</v>
      </c>
      <c r="C36" s="402">
        <v>853207</v>
      </c>
      <c r="D36" s="402">
        <v>205987</v>
      </c>
      <c r="E36" s="299">
        <v>9255684.1593739633</v>
      </c>
      <c r="F36" s="407">
        <f t="shared" si="0"/>
        <v>0.11443713741325869</v>
      </c>
      <c r="M36" s="43"/>
      <c r="N36" s="43"/>
      <c r="O36" s="43"/>
      <c r="P36" s="43"/>
      <c r="Q36" s="43"/>
    </row>
    <row r="37" spans="1:17" s="220" customFormat="1">
      <c r="A37" s="403"/>
      <c r="B37" s="266">
        <v>1992</v>
      </c>
      <c r="C37" s="402">
        <v>1198888</v>
      </c>
      <c r="D37" s="402">
        <v>284844</v>
      </c>
      <c r="E37" s="299">
        <v>10738283.273766331</v>
      </c>
      <c r="F37" s="407">
        <f t="shared" ref="F37:F61" si="1">(C37+D37)/E37</f>
        <v>0.1381721791252018</v>
      </c>
      <c r="M37" s="43"/>
      <c r="N37" s="43"/>
      <c r="O37" s="43"/>
      <c r="P37" s="43"/>
      <c r="Q37" s="43"/>
    </row>
    <row r="38" spans="1:17" s="220" customFormat="1">
      <c r="A38" s="403"/>
      <c r="B38" s="266">
        <v>1993</v>
      </c>
      <c r="C38" s="402">
        <v>2315360</v>
      </c>
      <c r="D38" s="402"/>
      <c r="E38" s="299">
        <v>12645361.493907506</v>
      </c>
      <c r="F38" s="407">
        <f t="shared" si="1"/>
        <v>0.18309955006944903</v>
      </c>
      <c r="M38" s="43"/>
      <c r="N38" s="43"/>
      <c r="O38" s="43"/>
      <c r="P38" s="43"/>
      <c r="Q38" s="43"/>
    </row>
    <row r="39" spans="1:17" s="220" customFormat="1">
      <c r="A39" s="403"/>
      <c r="B39" s="266">
        <v>1994</v>
      </c>
      <c r="C39" s="402">
        <v>3164920</v>
      </c>
      <c r="D39" s="402"/>
      <c r="E39" s="299">
        <v>14992331.683506493</v>
      </c>
      <c r="F39" s="407">
        <f t="shared" si="1"/>
        <v>0.21110258676319321</v>
      </c>
      <c r="M39" s="43"/>
      <c r="N39" s="43"/>
      <c r="O39" s="43"/>
      <c r="P39" s="43"/>
      <c r="Q39" s="43"/>
    </row>
    <row r="40" spans="1:17" s="220" customFormat="1">
      <c r="A40" s="403"/>
      <c r="B40" s="266">
        <v>1995</v>
      </c>
      <c r="C40" s="402">
        <v>3742695</v>
      </c>
      <c r="D40" s="402"/>
      <c r="E40" s="299">
        <v>17789145.328094486</v>
      </c>
      <c r="F40" s="407">
        <f t="shared" si="1"/>
        <v>0.21039206386656154</v>
      </c>
      <c r="M40" s="43"/>
      <c r="N40" s="43"/>
      <c r="O40" s="43"/>
      <c r="P40" s="43"/>
      <c r="Q40" s="43"/>
    </row>
    <row r="41" spans="1:17" s="220" customFormat="1">
      <c r="A41" s="403"/>
      <c r="B41" s="266">
        <v>1996</v>
      </c>
      <c r="C41" s="399">
        <v>4588417</v>
      </c>
      <c r="D41" s="402"/>
      <c r="E41" s="299">
        <v>20132862.098148197</v>
      </c>
      <c r="F41" s="407">
        <f t="shared" si="1"/>
        <v>0.2279068409464762</v>
      </c>
      <c r="M41" s="43"/>
      <c r="N41" s="43"/>
      <c r="O41" s="43"/>
      <c r="P41" s="43"/>
      <c r="Q41" s="43"/>
    </row>
    <row r="42" spans="1:17" s="220" customFormat="1">
      <c r="A42" s="403"/>
      <c r="B42" s="266">
        <v>1997</v>
      </c>
      <c r="C42" s="399">
        <v>5159897</v>
      </c>
      <c r="D42" s="402"/>
      <c r="E42" s="299">
        <v>21702866.395208146</v>
      </c>
      <c r="F42" s="407">
        <f t="shared" si="1"/>
        <v>0.23775186678287216</v>
      </c>
      <c r="M42" s="43"/>
      <c r="N42" s="43"/>
      <c r="O42" s="43"/>
      <c r="P42" s="43"/>
      <c r="Q42" s="43"/>
    </row>
    <row r="43" spans="1:17" s="220" customFormat="1">
      <c r="A43" s="403"/>
      <c r="B43" s="266">
        <v>1998</v>
      </c>
      <c r="C43" s="399">
        <v>5015152</v>
      </c>
      <c r="D43" s="402"/>
      <c r="E43" s="299">
        <v>24605392.360497016</v>
      </c>
      <c r="F43" s="407">
        <f t="shared" si="1"/>
        <v>0.20382328907917063</v>
      </c>
      <c r="M43" s="43"/>
      <c r="N43" s="43"/>
      <c r="O43" s="43"/>
      <c r="P43" s="43"/>
      <c r="Q43" s="43"/>
    </row>
    <row r="44" spans="1:17" s="220" customFormat="1">
      <c r="A44" s="403"/>
      <c r="B44" s="266">
        <v>1999</v>
      </c>
      <c r="C44" s="399">
        <v>5545976</v>
      </c>
      <c r="D44" s="402"/>
      <c r="E44" s="299">
        <v>26176950.737209246</v>
      </c>
      <c r="F44" s="407">
        <f t="shared" si="1"/>
        <v>0.21186485987906409</v>
      </c>
      <c r="M44" s="43"/>
      <c r="N44" s="43"/>
      <c r="O44" s="43"/>
      <c r="P44" s="43"/>
      <c r="Q44" s="43"/>
    </row>
    <row r="45" spans="1:17" s="220" customFormat="1">
      <c r="A45" s="403"/>
      <c r="B45" s="266">
        <v>2000</v>
      </c>
      <c r="C45" s="399">
        <v>5723621</v>
      </c>
      <c r="D45" s="402"/>
      <c r="E45" s="299">
        <v>28574100.862382505</v>
      </c>
      <c r="F45" s="407">
        <f t="shared" si="1"/>
        <v>0.20030800015601138</v>
      </c>
      <c r="M45" s="43"/>
      <c r="N45" s="43"/>
      <c r="O45" s="43"/>
      <c r="P45" s="43"/>
      <c r="Q45" s="43"/>
    </row>
    <row r="46" spans="1:17" s="220" customFormat="1">
      <c r="A46" s="403"/>
      <c r="B46" s="266">
        <v>2001</v>
      </c>
      <c r="C46" s="399">
        <v>6477256.7519999994</v>
      </c>
      <c r="D46" s="402"/>
      <c r="E46" s="299">
        <v>31462078.100319903</v>
      </c>
      <c r="F46" s="407">
        <f t="shared" si="1"/>
        <v>0.20587504523212469</v>
      </c>
      <c r="M46" s="43"/>
      <c r="N46" s="43"/>
      <c r="O46" s="43"/>
      <c r="P46" s="43"/>
      <c r="Q46" s="43"/>
    </row>
    <row r="47" spans="1:17" s="220" customFormat="1">
      <c r="A47" s="403"/>
      <c r="B47" s="266">
        <v>2002</v>
      </c>
      <c r="C47" s="399">
        <v>6493314</v>
      </c>
      <c r="D47" s="402"/>
      <c r="E47" s="299">
        <v>36156212.343866736</v>
      </c>
      <c r="F47" s="407">
        <f t="shared" si="1"/>
        <v>0.17959054831974058</v>
      </c>
      <c r="M47" s="43"/>
      <c r="N47" s="43"/>
      <c r="O47" s="43"/>
      <c r="P47" s="43"/>
      <c r="Q47" s="43"/>
    </row>
    <row r="48" spans="1:17" s="220" customFormat="1">
      <c r="A48" s="403"/>
      <c r="B48" s="266">
        <v>2003</v>
      </c>
      <c r="C48" s="399">
        <v>4859794</v>
      </c>
      <c r="D48" s="402"/>
      <c r="E48" s="299">
        <v>42324219.772408746</v>
      </c>
      <c r="F48" s="407">
        <f t="shared" si="1"/>
        <v>0.11482300267158405</v>
      </c>
      <c r="M48" s="43"/>
      <c r="N48" s="43"/>
      <c r="O48" s="43"/>
      <c r="P48" s="43"/>
      <c r="Q48" s="43"/>
    </row>
    <row r="49" spans="1:17" s="220" customFormat="1">
      <c r="A49" s="403"/>
      <c r="B49" s="266">
        <v>2004</v>
      </c>
      <c r="C49" s="399">
        <v>5638661</v>
      </c>
      <c r="D49" s="402"/>
      <c r="E49" s="299">
        <v>47999043.589724079</v>
      </c>
      <c r="F49" s="407">
        <f t="shared" si="1"/>
        <v>0.11747444487012983</v>
      </c>
      <c r="M49" s="43"/>
      <c r="N49" s="43"/>
      <c r="O49" s="43"/>
      <c r="P49" s="43"/>
      <c r="Q49" s="43"/>
    </row>
    <row r="50" spans="1:17" s="220" customFormat="1">
      <c r="A50" s="403"/>
      <c r="B50" s="266">
        <v>2005</v>
      </c>
      <c r="C50" s="399">
        <v>6386322</v>
      </c>
      <c r="D50" s="402"/>
      <c r="E50" s="299">
        <v>53962326.67652221</v>
      </c>
      <c r="F50" s="407">
        <f t="shared" si="1"/>
        <v>0.11834778804633242</v>
      </c>
      <c r="M50" s="43"/>
      <c r="N50" s="43"/>
      <c r="O50" s="43"/>
      <c r="P50" s="43"/>
      <c r="Q50" s="43"/>
    </row>
    <row r="51" spans="1:17" s="220" customFormat="1">
      <c r="A51" s="403"/>
      <c r="B51" s="266">
        <v>2006</v>
      </c>
      <c r="C51" s="399">
        <v>6988731</v>
      </c>
      <c r="D51" s="402"/>
      <c r="E51" s="299">
        <v>59996506.118773416</v>
      </c>
      <c r="F51" s="407">
        <f t="shared" si="1"/>
        <v>0.11648563311611185</v>
      </c>
      <c r="M51" s="43"/>
      <c r="N51" s="43"/>
      <c r="O51" s="43"/>
      <c r="P51" s="43"/>
      <c r="Q51" s="43"/>
    </row>
    <row r="52" spans="1:17" s="220" customFormat="1">
      <c r="A52" s="403"/>
      <c r="B52" s="266">
        <v>2007</v>
      </c>
      <c r="C52" s="399">
        <v>9975163</v>
      </c>
      <c r="D52" s="402"/>
      <c r="E52" s="299">
        <v>69426262.232025474</v>
      </c>
      <c r="F52" s="407">
        <f t="shared" si="1"/>
        <v>0.14367996604314642</v>
      </c>
      <c r="M52" s="43"/>
      <c r="N52" s="43"/>
      <c r="O52" s="43"/>
      <c r="P52" s="43"/>
      <c r="Q52" s="43"/>
    </row>
    <row r="53" spans="1:17" s="220" customFormat="1">
      <c r="A53" s="403"/>
      <c r="B53" s="266">
        <v>2008</v>
      </c>
      <c r="C53" s="399">
        <v>14821723.527045194</v>
      </c>
      <c r="D53" s="402"/>
      <c r="E53" s="299">
        <v>80734753.24228245</v>
      </c>
      <c r="F53" s="407">
        <f t="shared" si="1"/>
        <v>0.18358541931212286</v>
      </c>
      <c r="M53" s="43"/>
      <c r="N53" s="43"/>
      <c r="O53" s="43"/>
      <c r="P53" s="43"/>
      <c r="Q53" s="43"/>
    </row>
    <row r="54" spans="1:17" s="220" customFormat="1">
      <c r="A54" s="403"/>
      <c r="B54" s="266">
        <v>2009</v>
      </c>
      <c r="C54" s="399">
        <v>18136088</v>
      </c>
      <c r="D54" s="402"/>
      <c r="E54" s="299">
        <v>79117170.176796183</v>
      </c>
      <c r="F54" s="407">
        <f t="shared" si="1"/>
        <v>0.22923074674527513</v>
      </c>
      <c r="M54" s="43"/>
      <c r="N54" s="43"/>
      <c r="O54" s="43"/>
      <c r="P54" s="43"/>
      <c r="Q54" s="43"/>
    </row>
    <row r="55" spans="1:17" s="220" customFormat="1">
      <c r="A55" s="403"/>
      <c r="B55" s="266">
        <v>2010</v>
      </c>
      <c r="C55" s="399">
        <v>25846563</v>
      </c>
      <c r="D55" s="402"/>
      <c r="E55" s="299">
        <v>94934255.213694632</v>
      </c>
      <c r="F55" s="407">
        <f t="shared" si="1"/>
        <v>0.27225750011752908</v>
      </c>
      <c r="M55" s="43"/>
      <c r="N55" s="43"/>
      <c r="O55" s="43"/>
      <c r="P55" s="43"/>
      <c r="Q55" s="43"/>
    </row>
    <row r="56" spans="1:17" s="220" customFormat="1">
      <c r="A56" s="403"/>
      <c r="B56" s="266">
        <v>2011</v>
      </c>
      <c r="C56" s="399">
        <v>32253040</v>
      </c>
      <c r="D56" s="402"/>
      <c r="E56" s="299">
        <v>105203213.929758</v>
      </c>
      <c r="F56" s="407">
        <f t="shared" si="1"/>
        <v>0.30657846652417564</v>
      </c>
      <c r="M56" s="43"/>
      <c r="N56" s="43"/>
      <c r="O56" s="43"/>
      <c r="P56" s="43"/>
      <c r="Q56" s="43"/>
    </row>
    <row r="57" spans="1:17" s="220" customFormat="1">
      <c r="A57" s="403"/>
      <c r="B57" s="266">
        <v>2012</v>
      </c>
      <c r="C57" s="399">
        <v>36325816</v>
      </c>
      <c r="D57" s="402"/>
      <c r="E57" s="299">
        <v>108832260.32910401</v>
      </c>
      <c r="F57" s="407">
        <f t="shared" si="1"/>
        <v>0.33377801664830187</v>
      </c>
      <c r="M57" s="43"/>
      <c r="N57" s="43"/>
      <c r="O57" s="43"/>
      <c r="P57" s="43"/>
      <c r="Q57" s="43"/>
    </row>
    <row r="58" spans="1:17" s="220" customFormat="1">
      <c r="A58" s="403"/>
      <c r="B58" s="266">
        <v>2013</v>
      </c>
      <c r="C58" s="399">
        <v>44995031</v>
      </c>
      <c r="D58" s="402"/>
      <c r="E58" s="299">
        <v>125152244.90377593</v>
      </c>
      <c r="F58" s="407">
        <f t="shared" si="1"/>
        <v>0.35952236441779134</v>
      </c>
      <c r="M58" s="43"/>
      <c r="N58" s="43"/>
      <c r="O58" s="43"/>
      <c r="P58" s="43"/>
      <c r="Q58" s="43"/>
    </row>
    <row r="59" spans="1:17" s="220" customFormat="1">
      <c r="A59" s="403"/>
      <c r="B59" s="266">
        <v>2014</v>
      </c>
      <c r="C59" s="400">
        <v>54472048</v>
      </c>
      <c r="D59" s="402"/>
      <c r="E59" s="299">
        <v>137797686.41474476</v>
      </c>
      <c r="F59" s="407">
        <f t="shared" si="1"/>
        <v>0.39530451792963722</v>
      </c>
      <c r="M59" s="43"/>
      <c r="N59" s="43"/>
      <c r="O59" s="43"/>
      <c r="P59" s="43"/>
      <c r="Q59" s="43"/>
    </row>
    <row r="60" spans="1:17" s="220" customFormat="1">
      <c r="A60" s="403"/>
      <c r="B60" s="266">
        <v>2015</v>
      </c>
      <c r="C60" s="400">
        <v>66967507</v>
      </c>
      <c r="D60" s="402"/>
      <c r="E60" s="299">
        <v>142003380.42045957</v>
      </c>
      <c r="F60" s="407">
        <f t="shared" si="1"/>
        <v>0.47159093538277103</v>
      </c>
      <c r="M60" s="43"/>
      <c r="N60" s="43"/>
      <c r="O60" s="43"/>
      <c r="P60" s="43"/>
      <c r="Q60" s="43"/>
    </row>
    <row r="61" spans="1:17" s="220" customFormat="1">
      <c r="A61" s="403"/>
      <c r="B61" s="266">
        <v>2016</v>
      </c>
      <c r="C61" s="400">
        <v>67281281</v>
      </c>
      <c r="D61" s="402"/>
      <c r="E61" s="299">
        <v>155509318.36535037</v>
      </c>
      <c r="F61" s="407">
        <f t="shared" si="1"/>
        <v>0.43265112153556456</v>
      </c>
      <c r="M61" s="43"/>
      <c r="N61" s="43"/>
      <c r="O61" s="43"/>
      <c r="P61" s="43"/>
      <c r="Q61" s="43"/>
    </row>
    <row r="63" spans="1:17" s="220" customFormat="1">
      <c r="A63" s="403"/>
      <c r="B63" s="401"/>
      <c r="C63" s="402"/>
      <c r="D63" s="402"/>
      <c r="E63" s="402"/>
      <c r="F63" s="402"/>
      <c r="M63" s="43"/>
      <c r="N63" s="43"/>
      <c r="O63" s="43"/>
      <c r="P63" s="43"/>
      <c r="Q63" s="43"/>
    </row>
  </sheetData>
  <mergeCells count="1">
    <mergeCell ref="C2:D2"/>
  </mergeCell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
  <sheetViews>
    <sheetView workbookViewId="0"/>
  </sheetViews>
  <sheetFormatPr defaultColWidth="10.88671875" defaultRowHeight="14.4"/>
  <cols>
    <col min="1" max="1" width="10.88671875" style="43"/>
    <col min="2" max="2" width="25.109375" style="43" bestFit="1" customWidth="1"/>
    <col min="3" max="5" width="8.109375" style="43" customWidth="1"/>
    <col min="6" max="16384" width="10.88671875" style="43"/>
  </cols>
  <sheetData>
    <row r="1" spans="2:9" ht="15" thickBot="1">
      <c r="B1" s="435"/>
      <c r="C1" s="435"/>
      <c r="D1" s="435"/>
      <c r="E1" s="435"/>
    </row>
    <row r="2" spans="2:9" ht="18.600000000000001" thickBot="1">
      <c r="B2" s="436" t="s">
        <v>1350</v>
      </c>
      <c r="C2" s="437">
        <v>1988</v>
      </c>
      <c r="D2" s="437">
        <v>1995</v>
      </c>
      <c r="E2" s="437">
        <v>1999</v>
      </c>
    </row>
    <row r="3" spans="2:9" ht="18">
      <c r="B3" s="438" t="s">
        <v>1351</v>
      </c>
      <c r="C3" s="439">
        <v>26</v>
      </c>
      <c r="D3" s="439">
        <v>34</v>
      </c>
      <c r="E3" s="439">
        <v>23</v>
      </c>
    </row>
    <row r="4" spans="2:9" ht="18.600000000000001" thickBot="1">
      <c r="B4" s="438" t="s">
        <v>1352</v>
      </c>
      <c r="C4" s="439">
        <v>28</v>
      </c>
      <c r="D4" s="439">
        <v>63</v>
      </c>
      <c r="E4" s="439">
        <v>35</v>
      </c>
    </row>
    <row r="5" spans="2:9" ht="18.600000000000001" thickBot="1">
      <c r="B5" s="440" t="s">
        <v>233</v>
      </c>
      <c r="C5" s="441">
        <f>+C4+C3</f>
        <v>54</v>
      </c>
      <c r="D5" s="441">
        <f>+D4+D3</f>
        <v>97</v>
      </c>
      <c r="E5" s="441">
        <f>+E4+E3</f>
        <v>58</v>
      </c>
    </row>
    <row r="6" spans="2:9">
      <c r="I6" s="442"/>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
  <sheetViews>
    <sheetView workbookViewId="0">
      <selection activeCell="A3" sqref="A3:C6"/>
    </sheetView>
  </sheetViews>
  <sheetFormatPr defaultColWidth="9.109375" defaultRowHeight="14.4"/>
  <cols>
    <col min="1" max="16384" width="9.109375" style="236"/>
  </cols>
  <sheetData>
    <row r="1" spans="1:3">
      <c r="A1" s="236" t="s">
        <v>607</v>
      </c>
      <c r="B1" s="236" t="s">
        <v>1353</v>
      </c>
    </row>
    <row r="3" spans="1:3">
      <c r="B3" s="236" t="s">
        <v>1354</v>
      </c>
      <c r="C3" s="236" t="s">
        <v>1355</v>
      </c>
    </row>
    <row r="4" spans="1:3">
      <c r="A4" s="432" t="s">
        <v>624</v>
      </c>
      <c r="B4" s="236">
        <f>+'Data figure 16'!C3</f>
        <v>26</v>
      </c>
      <c r="C4" s="432">
        <f>+'Data figure 16'!C4</f>
        <v>28</v>
      </c>
    </row>
    <row r="5" spans="1:3">
      <c r="A5" s="432" t="s">
        <v>631</v>
      </c>
      <c r="B5" s="236">
        <f>+'Data figure 16'!D3</f>
        <v>34</v>
      </c>
      <c r="C5" s="432">
        <f>+'Data figure 16'!D4</f>
        <v>63</v>
      </c>
    </row>
    <row r="6" spans="1:3">
      <c r="A6" s="432" t="s">
        <v>314</v>
      </c>
      <c r="B6" s="236">
        <f>+'Data figure 16'!E3</f>
        <v>23</v>
      </c>
      <c r="C6" s="432">
        <f>+'Data figure 16'!E4</f>
        <v>35</v>
      </c>
    </row>
    <row r="7" spans="1:3">
      <c r="B7" s="432"/>
      <c r="C7" s="432"/>
    </row>
    <row r="8" spans="1:3">
      <c r="B8" s="432"/>
      <c r="C8" s="432"/>
    </row>
    <row r="9" spans="1:3">
      <c r="B9" s="432"/>
      <c r="C9" s="432"/>
    </row>
    <row r="10" spans="1:3">
      <c r="B10" s="432"/>
      <c r="C10" s="432"/>
    </row>
    <row r="11" spans="1:3">
      <c r="B11" s="432"/>
      <c r="C11" s="432"/>
    </row>
    <row r="12" spans="1:3">
      <c r="B12" s="432"/>
      <c r="C12" s="432"/>
    </row>
    <row r="13" spans="1:3">
      <c r="B13" s="432"/>
      <c r="C13" s="432"/>
    </row>
    <row r="14" spans="1:3">
      <c r="B14" s="432"/>
      <c r="C14" s="432"/>
    </row>
    <row r="15" spans="1:3">
      <c r="B15" s="432"/>
      <c r="C15" s="432"/>
    </row>
    <row r="16" spans="1:3">
      <c r="B16" s="432"/>
      <c r="C16" s="432"/>
    </row>
    <row r="17" spans="2:3">
      <c r="B17" s="432"/>
      <c r="C17" s="432"/>
    </row>
    <row r="18" spans="2:3">
      <c r="B18" s="432"/>
      <c r="C18" s="432"/>
    </row>
    <row r="19" spans="2:3">
      <c r="B19" s="432"/>
      <c r="C19" s="432"/>
    </row>
    <row r="20" spans="2:3">
      <c r="B20" s="432"/>
      <c r="C20" s="432"/>
    </row>
    <row r="21" spans="2:3">
      <c r="B21" s="432"/>
      <c r="C21" s="432"/>
    </row>
    <row r="22" spans="2:3">
      <c r="B22" s="432"/>
      <c r="C22" s="432"/>
    </row>
    <row r="23" spans="2:3">
      <c r="B23" s="432"/>
      <c r="C23" s="432"/>
    </row>
    <row r="24" spans="2:3">
      <c r="B24" s="432"/>
      <c r="C24" s="432"/>
    </row>
    <row r="25" spans="2:3">
      <c r="B25" s="432"/>
      <c r="C25" s="432"/>
    </row>
    <row r="26" spans="2:3">
      <c r="B26" s="432"/>
      <c r="C26" s="432"/>
    </row>
    <row r="27" spans="2:3">
      <c r="B27" s="432"/>
      <c r="C27" s="432"/>
    </row>
    <row r="28" spans="2:3">
      <c r="B28" s="432"/>
      <c r="C28" s="432"/>
    </row>
    <row r="29" spans="2:3">
      <c r="B29" s="432"/>
      <c r="C29" s="432"/>
    </row>
    <row r="30" spans="2:3">
      <c r="B30" s="432"/>
      <c r="C30" s="432"/>
    </row>
    <row r="31" spans="2:3">
      <c r="B31" s="432"/>
      <c r="C31" s="432"/>
    </row>
    <row r="32" spans="2:3">
      <c r="B32" s="432"/>
      <c r="C32" s="432"/>
    </row>
    <row r="33" spans="2:3">
      <c r="B33" s="432"/>
      <c r="C33" s="432"/>
    </row>
    <row r="34" spans="2:3">
      <c r="B34" s="432"/>
      <c r="C34" s="432"/>
    </row>
    <row r="35" spans="2:3">
      <c r="B35" s="432"/>
      <c r="C35" s="432"/>
    </row>
    <row r="36" spans="2:3">
      <c r="B36" s="432"/>
      <c r="C36" s="432"/>
    </row>
    <row r="37" spans="2:3">
      <c r="B37" s="432"/>
      <c r="C37" s="432"/>
    </row>
    <row r="38" spans="2:3">
      <c r="B38" s="432"/>
      <c r="C38" s="432"/>
    </row>
    <row r="39" spans="2:3">
      <c r="B39" s="432"/>
      <c r="C39" s="432"/>
    </row>
    <row r="40" spans="2:3">
      <c r="B40" s="432"/>
      <c r="C40" s="432"/>
    </row>
    <row r="41" spans="2:3">
      <c r="B41" s="432"/>
      <c r="C41" s="432"/>
    </row>
    <row r="42" spans="2:3">
      <c r="B42" s="432"/>
      <c r="C42" s="432"/>
    </row>
    <row r="43" spans="2:3">
      <c r="B43" s="432"/>
      <c r="C43" s="432"/>
    </row>
    <row r="44" spans="2:3">
      <c r="B44" s="432"/>
      <c r="C44" s="432"/>
    </row>
    <row r="45" spans="2:3">
      <c r="B45" s="432"/>
      <c r="C45" s="432"/>
    </row>
    <row r="46" spans="2:3">
      <c r="B46" s="432"/>
      <c r="C46" s="432"/>
    </row>
    <row r="47" spans="2:3">
      <c r="B47" s="432"/>
      <c r="C47" s="432"/>
    </row>
    <row r="48" spans="2:3">
      <c r="B48" s="432"/>
      <c r="C48" s="432"/>
    </row>
    <row r="49" spans="2:3">
      <c r="B49" s="432"/>
      <c r="C49" s="432"/>
    </row>
    <row r="50" spans="2:3">
      <c r="B50" s="432"/>
      <c r="C50" s="432"/>
    </row>
    <row r="51" spans="2:3">
      <c r="B51" s="432"/>
      <c r="C51" s="432"/>
    </row>
    <row r="52" spans="2:3">
      <c r="B52" s="432"/>
      <c r="C52" s="432"/>
    </row>
    <row r="53" spans="2:3">
      <c r="B53" s="432"/>
      <c r="C53" s="432"/>
    </row>
    <row r="54" spans="2:3">
      <c r="B54" s="432"/>
      <c r="C54" s="432"/>
    </row>
    <row r="55" spans="2:3">
      <c r="B55" s="432"/>
      <c r="C55" s="432"/>
    </row>
    <row r="56" spans="2:3">
      <c r="B56" s="432"/>
      <c r="C56" s="432"/>
    </row>
    <row r="57" spans="2:3">
      <c r="B57" s="432"/>
      <c r="C57" s="432"/>
    </row>
    <row r="58" spans="2:3">
      <c r="B58" s="432"/>
      <c r="C58" s="432"/>
    </row>
    <row r="59" spans="2:3">
      <c r="B59" s="432"/>
    </row>
    <row r="60" spans="2:3">
      <c r="B60" s="432"/>
    </row>
  </sheetData>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workbookViewId="0">
      <selection activeCell="E5" sqref="E5"/>
    </sheetView>
  </sheetViews>
  <sheetFormatPr defaultColWidth="9.109375" defaultRowHeight="14.4"/>
  <cols>
    <col min="1" max="3" width="9.109375" style="236"/>
    <col min="4" max="4" width="14.33203125" style="236" bestFit="1" customWidth="1"/>
    <col min="5" max="16384" width="9.109375" style="236"/>
  </cols>
  <sheetData>
    <row r="1" spans="1:5">
      <c r="C1" s="236" t="s">
        <v>1371</v>
      </c>
      <c r="D1" s="236" t="s">
        <v>1372</v>
      </c>
      <c r="E1" s="236" t="s">
        <v>1373</v>
      </c>
    </row>
    <row r="2" spans="1:5">
      <c r="A2" s="445"/>
      <c r="B2" s="445">
        <v>1990</v>
      </c>
      <c r="C2" s="299"/>
      <c r="D2" s="299">
        <v>547123</v>
      </c>
    </row>
    <row r="3" spans="1:5">
      <c r="A3" s="445"/>
      <c r="B3" s="445">
        <v>1991</v>
      </c>
      <c r="C3" s="299"/>
      <c r="D3" s="299">
        <v>687580</v>
      </c>
    </row>
    <row r="4" spans="1:5">
      <c r="A4" s="445"/>
      <c r="B4" s="445">
        <v>1992</v>
      </c>
      <c r="C4" s="299"/>
      <c r="D4" s="299">
        <v>901981</v>
      </c>
    </row>
    <row r="5" spans="1:5">
      <c r="A5" s="445"/>
      <c r="B5" s="445">
        <v>1993</v>
      </c>
      <c r="C5" s="299">
        <v>33977</v>
      </c>
      <c r="D5" s="299">
        <v>1053311</v>
      </c>
      <c r="E5" s="277">
        <v>3.2257329506669923E-2</v>
      </c>
    </row>
    <row r="6" spans="1:5">
      <c r="A6" s="445"/>
      <c r="B6" s="445">
        <v>1994</v>
      </c>
      <c r="C6" s="299">
        <v>81701.833333333328</v>
      </c>
      <c r="D6" s="299">
        <v>1342253</v>
      </c>
      <c r="E6" s="277">
        <v>6.0869175433642786E-2</v>
      </c>
    </row>
    <row r="7" spans="1:5">
      <c r="A7" s="445"/>
      <c r="B7" s="445">
        <v>1995</v>
      </c>
      <c r="C7" s="299">
        <v>171623.75</v>
      </c>
      <c r="D7" s="299">
        <v>1650909</v>
      </c>
      <c r="E7" s="277">
        <v>0.10395712301526008</v>
      </c>
    </row>
    <row r="8" spans="1:5">
      <c r="A8" s="445"/>
      <c r="B8" s="445">
        <v>1996</v>
      </c>
      <c r="C8" s="299">
        <v>309624.58333333331</v>
      </c>
      <c r="D8" s="299">
        <v>1703493</v>
      </c>
      <c r="E8" s="277">
        <v>0.18175864728139965</v>
      </c>
    </row>
    <row r="9" spans="1:5">
      <c r="A9" s="445"/>
      <c r="B9" s="445">
        <v>1997</v>
      </c>
      <c r="C9" s="299">
        <v>404809.83333333331</v>
      </c>
      <c r="D9" s="299">
        <v>1831797</v>
      </c>
      <c r="E9" s="277">
        <v>0.22099055372038132</v>
      </c>
    </row>
    <row r="10" spans="1:5">
      <c r="A10" s="445"/>
      <c r="B10" s="445">
        <v>1998</v>
      </c>
      <c r="C10" s="299">
        <v>381511.33333333331</v>
      </c>
      <c r="D10" s="299">
        <v>1987333</v>
      </c>
      <c r="E10" s="277">
        <v>0.19197151827767833</v>
      </c>
    </row>
    <row r="11" spans="1:5">
      <c r="A11" s="445"/>
      <c r="B11" s="445">
        <v>1999</v>
      </c>
      <c r="C11" s="299">
        <v>298502.5</v>
      </c>
      <c r="D11" s="299">
        <v>2138545</v>
      </c>
      <c r="E11" s="277">
        <v>0.13958205228321124</v>
      </c>
    </row>
    <row r="12" spans="1:5">
      <c r="A12" s="445"/>
      <c r="B12" s="445">
        <v>2000</v>
      </c>
      <c r="C12" s="299">
        <v>174687.5</v>
      </c>
      <c r="D12" s="299">
        <v>2106943.3540000003</v>
      </c>
      <c r="E12" s="277">
        <v>8.2910392283854425E-2</v>
      </c>
    </row>
    <row r="13" spans="1:5">
      <c r="A13" s="445"/>
      <c r="B13" s="445">
        <v>2001</v>
      </c>
      <c r="C13" s="299">
        <v>245305</v>
      </c>
      <c r="D13" s="299">
        <v>2227567.355856</v>
      </c>
      <c r="E13" s="277">
        <v>0.11012237154361389</v>
      </c>
    </row>
    <row r="14" spans="1:5">
      <c r="A14" s="445"/>
      <c r="B14" s="445">
        <v>2002</v>
      </c>
      <c r="C14" s="299">
        <v>508234.16666666669</v>
      </c>
      <c r="D14" s="299">
        <v>2193175.648856</v>
      </c>
      <c r="E14" s="277">
        <v>0.23173436515756082</v>
      </c>
    </row>
    <row r="15" spans="1:5">
      <c r="A15" s="445"/>
      <c r="B15" s="445">
        <v>2003</v>
      </c>
      <c r="C15" s="299">
        <v>1028086</v>
      </c>
      <c r="D15" s="299">
        <v>3461744.32</v>
      </c>
      <c r="E15" s="277">
        <v>0.296984960460627</v>
      </c>
    </row>
    <row r="16" spans="1:5">
      <c r="A16" s="445"/>
      <c r="B16" s="445">
        <v>2004</v>
      </c>
      <c r="C16" s="299">
        <v>1516531.1666666667</v>
      </c>
      <c r="D16" s="299">
        <v>4060380.1901509999</v>
      </c>
      <c r="E16" s="277">
        <v>0.37349486886602828</v>
      </c>
    </row>
    <row r="17" spans="1:9">
      <c r="A17" s="445"/>
      <c r="B17" s="445">
        <v>2005</v>
      </c>
      <c r="C17" s="299">
        <v>2322410.5</v>
      </c>
      <c r="D17" s="299">
        <v>4240519.0591190001</v>
      </c>
      <c r="E17" s="277">
        <v>0.54767127977075958</v>
      </c>
    </row>
    <row r="18" spans="1:9">
      <c r="A18" s="445"/>
      <c r="B18" s="445">
        <v>2006</v>
      </c>
      <c r="C18" s="299">
        <v>3005865.5</v>
      </c>
      <c r="D18" s="299">
        <v>4789622.2997869998</v>
      </c>
      <c r="E18" s="277">
        <v>0.62757881767288293</v>
      </c>
    </row>
    <row r="19" spans="1:9">
      <c r="A19" s="445"/>
      <c r="B19" s="445">
        <v>2007</v>
      </c>
      <c r="C19" s="299">
        <v>4264938.333333333</v>
      </c>
      <c r="D19" s="299">
        <v>6476434.7144370005</v>
      </c>
      <c r="E19" s="277">
        <v>0.65853181903094138</v>
      </c>
    </row>
    <row r="20" spans="1:9">
      <c r="A20" s="445"/>
      <c r="B20" s="445">
        <v>2008</v>
      </c>
      <c r="C20" s="299">
        <v>4823483.333333333</v>
      </c>
      <c r="D20" s="299">
        <v>7616942.5720320009</v>
      </c>
      <c r="E20" s="277">
        <v>0.63325714848425774</v>
      </c>
    </row>
    <row r="21" spans="1:9">
      <c r="A21" s="445"/>
      <c r="B21" s="445">
        <v>2009</v>
      </c>
      <c r="C21" s="299">
        <v>2652070</v>
      </c>
      <c r="D21" s="299">
        <v>10160304.167924</v>
      </c>
      <c r="E21" s="277">
        <v>0.26102269736890005</v>
      </c>
    </row>
    <row r="22" spans="1:9">
      <c r="A22" s="445"/>
      <c r="B22" s="445">
        <v>2010</v>
      </c>
      <c r="C22" s="299">
        <v>4037506.6666666665</v>
      </c>
      <c r="D22" s="299">
        <v>10273551.947507001</v>
      </c>
      <c r="E22" s="277">
        <v>0.39300007312917856</v>
      </c>
    </row>
    <row r="23" spans="1:9">
      <c r="A23" s="445"/>
      <c r="B23" s="445">
        <v>2011</v>
      </c>
      <c r="C23" s="299">
        <v>4853933.333333333</v>
      </c>
      <c r="D23" s="299">
        <v>11598787.269677</v>
      </c>
      <c r="E23" s="277">
        <v>0.41848627968400565</v>
      </c>
    </row>
    <row r="24" spans="1:9">
      <c r="A24" s="445"/>
      <c r="B24" s="445">
        <v>2012</v>
      </c>
      <c r="C24" s="299">
        <v>4336454.166666667</v>
      </c>
      <c r="D24" s="299">
        <v>13591719.116319001</v>
      </c>
      <c r="E24" s="277">
        <v>0.31905119062238935</v>
      </c>
    </row>
    <row r="25" spans="1:9">
      <c r="A25" s="445"/>
      <c r="B25" s="445">
        <v>2013</v>
      </c>
      <c r="C25" s="299">
        <v>5499060</v>
      </c>
      <c r="D25" s="299">
        <v>13164096.192934999</v>
      </c>
      <c r="E25" s="277">
        <v>0.41773167860557525</v>
      </c>
    </row>
    <row r="26" spans="1:9">
      <c r="A26" s="445"/>
      <c r="B26" s="445">
        <v>2014</v>
      </c>
      <c r="C26" s="299">
        <v>5126820.833333333</v>
      </c>
      <c r="D26" s="299">
        <v>14589640</v>
      </c>
      <c r="E26" s="277">
        <v>0.35140146249896043</v>
      </c>
    </row>
    <row r="27" spans="1:9">
      <c r="A27" s="445"/>
      <c r="B27" s="445">
        <v>2015</v>
      </c>
      <c r="C27" s="299">
        <v>5742154.166666667</v>
      </c>
      <c r="D27" s="299">
        <v>15006674</v>
      </c>
      <c r="E27" s="277">
        <v>0.3826400284744419</v>
      </c>
    </row>
    <row r="28" spans="1:9">
      <c r="A28" s="445"/>
      <c r="B28" s="445">
        <v>2016</v>
      </c>
      <c r="C28" s="299">
        <v>6177560</v>
      </c>
      <c r="D28" s="299">
        <v>16004278.978339</v>
      </c>
      <c r="E28" s="277">
        <v>0.38599427117966528</v>
      </c>
    </row>
    <row r="29" spans="1:9">
      <c r="F29" s="446"/>
      <c r="I29" s="277"/>
    </row>
    <row r="30" spans="1:9">
      <c r="F30" s="446"/>
      <c r="I30" s="277"/>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ColWidth="9.109375" defaultRowHeight="14.4"/>
  <cols>
    <col min="1" max="16384" width="9.109375" style="236"/>
  </cols>
  <sheetData>
    <row r="1" spans="1:3">
      <c r="A1" s="236" t="s">
        <v>607</v>
      </c>
      <c r="B1" s="236" t="s">
        <v>1374</v>
      </c>
    </row>
    <row r="4" spans="1:3">
      <c r="A4" s="236" t="s">
        <v>629</v>
      </c>
      <c r="B4" s="432">
        <f>+'Data figure 17'!E5*100</f>
        <v>3.2257329506669921</v>
      </c>
      <c r="C4" s="432"/>
    </row>
    <row r="5" spans="1:3">
      <c r="A5" s="236" t="s">
        <v>630</v>
      </c>
      <c r="B5" s="432">
        <f>+'Data figure 17'!E6*100</f>
        <v>6.0869175433642786</v>
      </c>
      <c r="C5" s="432"/>
    </row>
    <row r="6" spans="1:3">
      <c r="A6" s="236" t="s">
        <v>631</v>
      </c>
      <c r="B6" s="432">
        <f>+'Data figure 17'!E7*100</f>
        <v>10.395712301526009</v>
      </c>
      <c r="C6" s="432"/>
    </row>
    <row r="7" spans="1:3">
      <c r="A7" s="236" t="s">
        <v>311</v>
      </c>
      <c r="B7" s="432">
        <f>+'Data figure 17'!E8*100</f>
        <v>18.175864728139963</v>
      </c>
      <c r="C7" s="432"/>
    </row>
    <row r="8" spans="1:3">
      <c r="A8" s="236" t="s">
        <v>312</v>
      </c>
      <c r="B8" s="432">
        <f>+'Data figure 17'!E9*100</f>
        <v>22.09905537203813</v>
      </c>
      <c r="C8" s="432"/>
    </row>
    <row r="9" spans="1:3">
      <c r="A9" s="236" t="s">
        <v>313</v>
      </c>
      <c r="B9" s="432">
        <f>+'Data figure 17'!E10*100</f>
        <v>19.197151827767833</v>
      </c>
      <c r="C9" s="432"/>
    </row>
    <row r="10" spans="1:3">
      <c r="A10" s="236" t="s">
        <v>314</v>
      </c>
      <c r="B10" s="432">
        <f>+'Data figure 17'!E11*100</f>
        <v>13.958205228321125</v>
      </c>
      <c r="C10" s="432"/>
    </row>
    <row r="11" spans="1:3">
      <c r="A11" s="236" t="s">
        <v>315</v>
      </c>
      <c r="B11" s="432">
        <f>+'Data figure 17'!E12*100</f>
        <v>8.2910392283854417</v>
      </c>
      <c r="C11" s="432"/>
    </row>
    <row r="12" spans="1:3">
      <c r="A12" s="236" t="s">
        <v>316</v>
      </c>
      <c r="B12" s="432">
        <f>+'Data figure 17'!E13*100</f>
        <v>11.012237154361388</v>
      </c>
      <c r="C12" s="432"/>
    </row>
    <row r="13" spans="1:3">
      <c r="A13" s="236" t="s">
        <v>317</v>
      </c>
      <c r="B13" s="432">
        <f>+'Data figure 17'!E14*100</f>
        <v>23.173436515756084</v>
      </c>
      <c r="C13" s="432"/>
    </row>
    <row r="14" spans="1:3">
      <c r="A14" s="236" t="s">
        <v>318</v>
      </c>
      <c r="B14" s="432">
        <f>+'Data figure 17'!E15*100</f>
        <v>29.698496046062701</v>
      </c>
      <c r="C14" s="43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87"/>
  <sheetViews>
    <sheetView workbookViewId="0"/>
  </sheetViews>
  <sheetFormatPr defaultColWidth="9.109375" defaultRowHeight="14.4"/>
  <cols>
    <col min="1" max="16384" width="9.109375" style="236"/>
  </cols>
  <sheetData>
    <row r="1" spans="1:3">
      <c r="A1" s="236" t="s">
        <v>607</v>
      </c>
      <c r="B1" s="236" t="s">
        <v>515</v>
      </c>
    </row>
    <row r="4" spans="1:3">
      <c r="A4" s="236" t="s">
        <v>647</v>
      </c>
      <c r="B4" s="432">
        <f>+Inflation!E16*100</f>
        <v>20.795612813370411</v>
      </c>
      <c r="C4" s="432"/>
    </row>
    <row r="5" spans="1:3">
      <c r="A5" s="236" t="s">
        <v>648</v>
      </c>
      <c r="B5" s="432">
        <f>+Inflation!E17*100</f>
        <v>20.242424242424264</v>
      </c>
      <c r="C5" s="432"/>
    </row>
    <row r="6" spans="1:3">
      <c r="A6" s="236" t="s">
        <v>649</v>
      </c>
      <c r="B6" s="432">
        <f>+Inflation!E18*100</f>
        <v>17.54593953764083</v>
      </c>
      <c r="C6" s="432"/>
    </row>
    <row r="7" spans="1:3">
      <c r="A7" s="236" t="s">
        <v>650</v>
      </c>
      <c r="B7" s="432">
        <f>+Inflation!E19*100</f>
        <v>18.560541913632498</v>
      </c>
      <c r="C7" s="432"/>
    </row>
    <row r="8" spans="1:3">
      <c r="A8" s="236" t="s">
        <v>651</v>
      </c>
      <c r="B8" s="432">
        <f>+Inflation!E20*100</f>
        <v>17.385500959372457</v>
      </c>
      <c r="C8" s="432"/>
    </row>
    <row r="9" spans="1:3">
      <c r="A9" s="236" t="s">
        <v>652</v>
      </c>
      <c r="B9" s="432">
        <f>+Inflation!E21*100</f>
        <v>17.574852782615856</v>
      </c>
      <c r="C9" s="432"/>
    </row>
    <row r="10" spans="1:3">
      <c r="A10" s="236" t="s">
        <v>653</v>
      </c>
      <c r="B10" s="432">
        <f>+Inflation!E22*100</f>
        <v>16.803144448084083</v>
      </c>
      <c r="C10" s="432"/>
    </row>
    <row r="11" spans="1:3">
      <c r="A11" s="236" t="s">
        <v>654</v>
      </c>
      <c r="B11" s="432">
        <f>+Inflation!E23*100</f>
        <v>16.811641329973213</v>
      </c>
      <c r="C11" s="432"/>
    </row>
    <row r="12" spans="1:3">
      <c r="A12" s="236" t="s">
        <v>655</v>
      </c>
      <c r="B12" s="432">
        <f>+Inflation!E24*100</f>
        <v>13.818498574596227</v>
      </c>
      <c r="C12" s="432"/>
    </row>
    <row r="13" spans="1:3">
      <c r="A13" s="236" t="s">
        <v>656</v>
      </c>
      <c r="B13" s="432">
        <f>+Inflation!E25*100</f>
        <v>13.997000078945243</v>
      </c>
      <c r="C13" s="432"/>
    </row>
    <row r="14" spans="1:3">
      <c r="A14" s="236" t="s">
        <v>657</v>
      </c>
      <c r="B14" s="432">
        <f>+Inflation!E26*100</f>
        <v>13.761254268860545</v>
      </c>
      <c r="C14" s="432"/>
    </row>
    <row r="15" spans="1:3">
      <c r="A15" s="236" t="s">
        <v>658</v>
      </c>
      <c r="B15" s="432">
        <f>+Inflation!E27*100</f>
        <v>13.360012313375446</v>
      </c>
      <c r="C15" s="432"/>
    </row>
    <row r="16" spans="1:3">
      <c r="A16" s="236" t="s">
        <v>659</v>
      </c>
      <c r="B16" s="432">
        <f>+Inflation!E28*100</f>
        <v>6.4351084528356362</v>
      </c>
      <c r="C16" s="432"/>
    </row>
    <row r="17" spans="1:3">
      <c r="A17" s="236" t="s">
        <v>660</v>
      </c>
      <c r="B17" s="432">
        <f>+Inflation!E29*100</f>
        <v>6.3508064516128782</v>
      </c>
      <c r="C17" s="432"/>
    </row>
    <row r="18" spans="1:3">
      <c r="A18" s="236" t="s">
        <v>661</v>
      </c>
      <c r="B18" s="432">
        <f>+Inflation!E30*100</f>
        <v>5.2733952885240409</v>
      </c>
      <c r="C18" s="432"/>
    </row>
    <row r="19" spans="1:3">
      <c r="A19" s="236" t="s">
        <v>662</v>
      </c>
      <c r="B19" s="432">
        <f>+Inflation!E31*100</f>
        <v>5.1778317383232242</v>
      </c>
      <c r="C19" s="432"/>
    </row>
    <row r="20" spans="1:3">
      <c r="A20" s="236" t="s">
        <v>663</v>
      </c>
      <c r="B20" s="432">
        <f>+Inflation!E32*100</f>
        <v>4.3067301542180747</v>
      </c>
      <c r="C20" s="432"/>
    </row>
    <row r="21" spans="1:3">
      <c r="A21" s="236" t="s">
        <v>664</v>
      </c>
      <c r="B21" s="432">
        <f>+Inflation!E33*100</f>
        <v>4.1619638826184246</v>
      </c>
      <c r="C21" s="432"/>
    </row>
    <row r="22" spans="1:3">
      <c r="A22" s="236" t="s">
        <v>665</v>
      </c>
      <c r="B22" s="432">
        <f>+Inflation!E34*100</f>
        <v>2.1312394840155902</v>
      </c>
      <c r="C22" s="432"/>
    </row>
    <row r="23" spans="1:3">
      <c r="A23" s="236" t="s">
        <v>666</v>
      </c>
      <c r="B23" s="432">
        <f>+Inflation!E35*100</f>
        <v>1.6911406500105475</v>
      </c>
      <c r="C23" s="432"/>
    </row>
    <row r="24" spans="1:3">
      <c r="A24" s="236" t="s">
        <v>667</v>
      </c>
      <c r="B24" s="432">
        <f>+Inflation!E36*100</f>
        <v>1.968969595769865</v>
      </c>
      <c r="C24" s="432"/>
    </row>
    <row r="25" spans="1:3">
      <c r="A25" s="236" t="s">
        <v>668</v>
      </c>
      <c r="B25" s="432">
        <f>+Inflation!E37*100</f>
        <v>1.8005540166204481</v>
      </c>
      <c r="C25" s="432"/>
    </row>
    <row r="26" spans="1:3">
      <c r="A26" s="236" t="s">
        <v>669</v>
      </c>
      <c r="B26" s="432">
        <f>+Inflation!E38*100</f>
        <v>0.59357303677429751</v>
      </c>
      <c r="C26" s="432"/>
    </row>
    <row r="27" spans="1:3">
      <c r="A27" s="236" t="s">
        <v>670</v>
      </c>
      <c r="B27" s="432">
        <f>+Inflation!E39*100</f>
        <v>0.39375424304137763</v>
      </c>
      <c r="C27" s="432"/>
    </row>
    <row r="28" spans="1:3">
      <c r="A28" s="236" t="s">
        <v>671</v>
      </c>
      <c r="B28" s="432">
        <f>+Inflation!E40*100</f>
        <v>0.44008124576844221</v>
      </c>
      <c r="C28" s="432"/>
    </row>
    <row r="29" spans="1:3">
      <c r="A29" s="236" t="s">
        <v>672</v>
      </c>
      <c r="B29" s="432">
        <f>+Inflation!E41*100</f>
        <v>0.7582938388627003</v>
      </c>
      <c r="C29" s="432"/>
    </row>
    <row r="30" spans="1:3">
      <c r="A30" s="236" t="s">
        <v>673</v>
      </c>
      <c r="B30" s="432">
        <f>+Inflation!E42*100</f>
        <v>2.1624580852664499</v>
      </c>
      <c r="C30" s="432"/>
    </row>
    <row r="31" spans="1:3">
      <c r="A31" s="236" t="s">
        <v>674</v>
      </c>
      <c r="B31" s="432">
        <f>+Inflation!E43*100</f>
        <v>1.6907720513342106</v>
      </c>
      <c r="C31" s="432"/>
    </row>
    <row r="32" spans="1:3">
      <c r="A32" s="236" t="s">
        <v>675</v>
      </c>
      <c r="B32" s="432">
        <f>+Inflation!E44*100</f>
        <v>2.3574299925052777</v>
      </c>
      <c r="C32" s="432"/>
    </row>
    <row r="33" spans="1:3">
      <c r="A33" s="236" t="s">
        <v>676</v>
      </c>
      <c r="B33" s="432">
        <f>+Inflation!E45*100</f>
        <v>2.0587836922661085</v>
      </c>
      <c r="C33" s="432"/>
    </row>
    <row r="34" spans="1:3">
      <c r="A34" s="236" t="s">
        <v>677</v>
      </c>
      <c r="B34" s="432">
        <f>+Inflation!E46*100</f>
        <v>3.7685337726523827</v>
      </c>
      <c r="C34" s="432"/>
    </row>
    <row r="35" spans="1:3">
      <c r="A35" s="236" t="s">
        <v>678</v>
      </c>
      <c r="B35" s="432">
        <f>+Inflation!E47*100</f>
        <v>3.7845606350944472</v>
      </c>
      <c r="C35" s="432"/>
    </row>
    <row r="36" spans="1:3">
      <c r="A36" s="236" t="s">
        <v>679</v>
      </c>
      <c r="B36" s="432">
        <f>+Inflation!E48*100</f>
        <v>3.800491266375583</v>
      </c>
      <c r="C36" s="432"/>
    </row>
    <row r="37" spans="1:3">
      <c r="A37" s="236" t="s">
        <v>680</v>
      </c>
      <c r="B37" s="432">
        <f>+Inflation!E49*100</f>
        <v>3.8163265306122796</v>
      </c>
      <c r="C37" s="432"/>
    </row>
    <row r="38" spans="1:3">
      <c r="A38" s="236" t="s">
        <v>681</v>
      </c>
      <c r="B38" s="432">
        <f>+Inflation!E50*100</f>
        <v>3.7981551817688697</v>
      </c>
      <c r="C38" s="432"/>
    </row>
    <row r="39" spans="1:3">
      <c r="A39" s="236" t="s">
        <v>682</v>
      </c>
      <c r="B39" s="432">
        <f>+Inflation!E51*100</f>
        <v>3.7800919664593202</v>
      </c>
      <c r="C39" s="432"/>
    </row>
    <row r="40" spans="1:3">
      <c r="A40" s="236" t="s">
        <v>683</v>
      </c>
      <c r="B40" s="432">
        <f>+Inflation!E52*100</f>
        <v>3.7246976045089975</v>
      </c>
      <c r="C40" s="432"/>
    </row>
    <row r="41" spans="1:3">
      <c r="A41" s="236" t="s">
        <v>684</v>
      </c>
      <c r="B41" s="432">
        <f>+Inflation!E53*100</f>
        <v>5.4099702863181998</v>
      </c>
      <c r="C41" s="432"/>
    </row>
    <row r="42" spans="1:3">
      <c r="A42" s="236" t="s">
        <v>685</v>
      </c>
      <c r="B42" s="432">
        <f>+Inflation!E54*100</f>
        <v>4.3388719100686091</v>
      </c>
      <c r="C42" s="432"/>
    </row>
    <row r="43" spans="1:3">
      <c r="A43" s="236" t="s">
        <v>686</v>
      </c>
      <c r="B43" s="432">
        <f>+Inflation!E55*100</f>
        <v>3.379771225288497</v>
      </c>
      <c r="C43" s="432"/>
    </row>
    <row r="44" spans="1:3">
      <c r="A44" s="236" t="s">
        <v>687</v>
      </c>
      <c r="B44" s="432">
        <f>+Inflation!E56*100</f>
        <v>4.0008521061736246</v>
      </c>
      <c r="C44" s="432"/>
    </row>
    <row r="45" spans="1:3">
      <c r="A45" s="236" t="s">
        <v>688</v>
      </c>
      <c r="B45" s="432">
        <f>+Inflation!E57*100</f>
        <v>4.3042047842119624</v>
      </c>
      <c r="C45" s="432"/>
    </row>
    <row r="46" spans="1:3">
      <c r="A46" s="236" t="s">
        <v>689</v>
      </c>
      <c r="B46" s="432">
        <f>+Inflation!E58*100</f>
        <v>3.1455720652064256</v>
      </c>
      <c r="C46" s="432"/>
    </row>
    <row r="47" spans="1:3">
      <c r="A47" s="236" t="s">
        <v>690</v>
      </c>
      <c r="B47" s="432">
        <f>+Inflation!E59*100</f>
        <v>4.6904258215306083</v>
      </c>
      <c r="C47" s="432"/>
    </row>
    <row r="48" spans="1:3">
      <c r="A48" s="236" t="s">
        <v>691</v>
      </c>
      <c r="B48" s="432">
        <f>+Inflation!E60*100</f>
        <v>5.2928189643487666</v>
      </c>
      <c r="C48" s="432"/>
    </row>
    <row r="49" spans="1:3">
      <c r="A49" s="236" t="s">
        <v>692</v>
      </c>
      <c r="B49" s="432">
        <f>+Inflation!E61*100</f>
        <v>4.9616443814061162</v>
      </c>
      <c r="C49" s="432"/>
    </row>
    <row r="50" spans="1:3">
      <c r="A50" s="236" t="s">
        <v>693</v>
      </c>
      <c r="B50" s="432">
        <f>+Inflation!E62*100</f>
        <v>5.0788049865772233</v>
      </c>
      <c r="C50" s="432"/>
    </row>
    <row r="51" spans="1:3">
      <c r="A51" s="236" t="s">
        <v>694</v>
      </c>
      <c r="B51" s="432">
        <f>+Inflation!E63*100</f>
        <v>4.7843898817084174</v>
      </c>
      <c r="C51" s="432"/>
    </row>
    <row r="52" spans="1:3">
      <c r="A52" s="236" t="s">
        <v>695</v>
      </c>
      <c r="B52" s="432">
        <f>+Inflation!E64*100</f>
        <v>4.2008196731988745</v>
      </c>
      <c r="C52" s="432"/>
    </row>
    <row r="53" spans="1:3">
      <c r="A53" s="236" t="s">
        <v>696</v>
      </c>
      <c r="B53" s="432">
        <f>+Inflation!E65*100</f>
        <v>3.2160804020100686</v>
      </c>
      <c r="C53" s="432"/>
    </row>
    <row r="54" spans="1:3">
      <c r="A54" s="236" t="s">
        <v>697</v>
      </c>
      <c r="B54" s="432">
        <f>+Inflation!E66*100</f>
        <v>4.554655870491553</v>
      </c>
      <c r="C54" s="432"/>
    </row>
    <row r="55" spans="1:3">
      <c r="A55" s="236" t="s">
        <v>698</v>
      </c>
      <c r="B55" s="432">
        <f>+Inflation!E67*100</f>
        <v>5.29531568126278</v>
      </c>
      <c r="C55" s="432"/>
    </row>
    <row r="56" spans="1:3">
      <c r="A56" s="236" t="s">
        <v>699</v>
      </c>
      <c r="B56" s="432">
        <f>+Inflation!E68*100</f>
        <v>4.2381432896491544</v>
      </c>
      <c r="C56" s="432"/>
    </row>
    <row r="57" spans="1:3">
      <c r="A57" s="236" t="s">
        <v>700</v>
      </c>
      <c r="B57" s="432">
        <f>+Inflation!E69*100</f>
        <v>3.9117352046138087</v>
      </c>
      <c r="C57" s="432"/>
    </row>
    <row r="58" spans="1:3">
      <c r="A58" s="236" t="s">
        <v>701</v>
      </c>
      <c r="B58" s="432">
        <f>+Inflation!E70*100</f>
        <v>4.3478260869565188</v>
      </c>
      <c r="C58" s="432"/>
    </row>
    <row r="59" spans="1:3">
      <c r="A59" s="236" t="s">
        <v>702</v>
      </c>
      <c r="B59" s="432">
        <f>+Inflation!E71*100</f>
        <v>2.2840119165838946</v>
      </c>
      <c r="C59" s="432"/>
    </row>
    <row r="60" spans="1:3">
      <c r="A60" s="236" t="s">
        <v>703</v>
      </c>
      <c r="B60" s="432">
        <f>+Inflation!E72*100</f>
        <v>4.2322834646085772</v>
      </c>
      <c r="C60" s="432"/>
    </row>
    <row r="61" spans="1:3">
      <c r="A61" s="236" t="s">
        <v>704</v>
      </c>
      <c r="B61" s="432">
        <f>+Inflation!E73*100</f>
        <v>3.3464566939306994</v>
      </c>
      <c r="C61" s="432"/>
    </row>
    <row r="62" spans="1:3">
      <c r="A62" s="236" t="s">
        <v>705</v>
      </c>
      <c r="B62" s="432">
        <f>+Inflation!E74*100</f>
        <v>2.8431372539216238</v>
      </c>
    </row>
    <row r="63" spans="1:3">
      <c r="A63" s="236" t="s">
        <v>706</v>
      </c>
      <c r="B63" s="432">
        <f>+Inflation!E75*100</f>
        <v>3.9215686274510109</v>
      </c>
    </row>
    <row r="64" spans="1:3">
      <c r="A64" s="236" t="s">
        <v>707</v>
      </c>
      <c r="B64" s="432">
        <f>+Inflation!E76*100</f>
        <v>5.1130776784660936</v>
      </c>
    </row>
    <row r="65" spans="1:2">
      <c r="A65" s="236" t="s">
        <v>708</v>
      </c>
      <c r="B65" s="432">
        <f>+Inflation!E77*100</f>
        <v>3.2132424537486548</v>
      </c>
    </row>
    <row r="66" spans="1:2">
      <c r="A66" s="236" t="s">
        <v>709</v>
      </c>
      <c r="B66" s="432">
        <f>+Inflation!E78*100</f>
        <v>3.194578896449185</v>
      </c>
    </row>
    <row r="67" spans="1:2">
      <c r="A67" s="236" t="s">
        <v>710</v>
      </c>
      <c r="B67" s="432">
        <f>+Inflation!E79*100</f>
        <v>3.4816247592213356</v>
      </c>
    </row>
    <row r="68" spans="1:2">
      <c r="A68" s="236" t="s">
        <v>711</v>
      </c>
      <c r="B68" s="432">
        <f>+Inflation!E80*100</f>
        <v>3.581800581835326</v>
      </c>
    </row>
    <row r="69" spans="1:2">
      <c r="A69" s="236" t="s">
        <v>712</v>
      </c>
      <c r="B69" s="432">
        <f>+Inflation!E81*100</f>
        <v>3.1853281853589932</v>
      </c>
    </row>
    <row r="70" spans="1:2">
      <c r="A70" s="236" t="s">
        <v>713</v>
      </c>
      <c r="B70" s="432">
        <f>+Inflation!E82*100</f>
        <v>2.9069767441861627</v>
      </c>
    </row>
    <row r="71" spans="1:2">
      <c r="A71" s="236" t="s">
        <v>714</v>
      </c>
      <c r="B71" s="432">
        <f>+Inflation!E83*100</f>
        <v>2.9126213592232109</v>
      </c>
    </row>
    <row r="72" spans="1:2">
      <c r="A72" s="236" t="s">
        <v>715</v>
      </c>
      <c r="B72" s="432">
        <f>+Inflation!E84*100</f>
        <v>0.47214353163811396</v>
      </c>
    </row>
    <row r="73" spans="1:2">
      <c r="A73" s="236" t="s">
        <v>716</v>
      </c>
      <c r="B73" s="432">
        <f>+Inflation!E85*100</f>
        <v>2.5714285714285579</v>
      </c>
    </row>
    <row r="74" spans="1:2">
      <c r="A74" s="236" t="s">
        <v>717</v>
      </c>
      <c r="B74" s="432">
        <f>+Inflation!E86*100</f>
        <v>2.6692087712361534</v>
      </c>
    </row>
    <row r="75" spans="1:2">
      <c r="A75" s="236" t="s">
        <v>718</v>
      </c>
      <c r="B75" s="432">
        <f>+Inflation!E87*100</f>
        <v>1.3207547160378308</v>
      </c>
    </row>
    <row r="76" spans="1:2">
      <c r="A76" s="236" t="s">
        <v>719</v>
      </c>
      <c r="B76" s="432">
        <f>+Inflation!E88*100</f>
        <v>0.46772684752547367</v>
      </c>
    </row>
    <row r="77" spans="1:2">
      <c r="A77" s="236" t="s">
        <v>720</v>
      </c>
      <c r="B77" s="432">
        <f>+Inflation!E89*100</f>
        <v>1.6981132066038684</v>
      </c>
    </row>
    <row r="78" spans="1:2">
      <c r="A78" s="236" t="s">
        <v>721</v>
      </c>
      <c r="B78" s="432">
        <f>+Inflation!E90*100</f>
        <v>2.4390243912048026</v>
      </c>
    </row>
    <row r="79" spans="1:2">
      <c r="A79" s="236" t="s">
        <v>722</v>
      </c>
      <c r="B79" s="432">
        <f>+Inflation!E91*100</f>
        <v>2.2429906532710264</v>
      </c>
    </row>
    <row r="80" spans="1:2">
      <c r="A80" s="236" t="s">
        <v>723</v>
      </c>
      <c r="B80" s="432">
        <f>+Inflation!E92*100</f>
        <v>1.4953271018691483</v>
      </c>
    </row>
    <row r="81" spans="1:2">
      <c r="A81" s="236" t="s">
        <v>724</v>
      </c>
      <c r="B81" s="432">
        <f>+Inflation!E93*100</f>
        <v>1.4031805425762434</v>
      </c>
    </row>
    <row r="82" spans="1:2">
      <c r="A82" s="236" t="s">
        <v>725</v>
      </c>
      <c r="B82" s="432">
        <f>+Inflation!E94*100</f>
        <v>1.9774011290017546</v>
      </c>
    </row>
    <row r="83" spans="1:2">
      <c r="A83" s="236" t="s">
        <v>726</v>
      </c>
      <c r="B83" s="432">
        <f>+Inflation!E95*100</f>
        <v>1.8867924528301883</v>
      </c>
    </row>
    <row r="84" spans="1:2">
      <c r="A84" s="236" t="s">
        <v>727</v>
      </c>
      <c r="B84" s="432">
        <f>+Inflation!E96*100</f>
        <v>1.8796992481380004</v>
      </c>
    </row>
    <row r="85" spans="1:2">
      <c r="A85" s="236" t="s">
        <v>728</v>
      </c>
      <c r="B85" s="432">
        <f>+Inflation!E97*100</f>
        <v>0</v>
      </c>
    </row>
    <row r="86" spans="1:2">
      <c r="A86" s="236" t="s">
        <v>729</v>
      </c>
      <c r="B86" s="432">
        <f>+Inflation!E98*100</f>
        <v>0.37140204178272018</v>
      </c>
    </row>
    <row r="87" spans="1:2">
      <c r="A87" s="236" t="s">
        <v>730</v>
      </c>
      <c r="B87" s="432">
        <f>+Inflation!E99*100</f>
        <v>0.5586592188133066</v>
      </c>
    </row>
    <row r="88" spans="1:2">
      <c r="A88" s="236" t="s">
        <v>731</v>
      </c>
      <c r="B88" s="432">
        <f>+Inflation!E100*100</f>
        <v>1.3035381750586161</v>
      </c>
    </row>
    <row r="89" spans="1:2">
      <c r="A89" s="236" t="s">
        <v>732</v>
      </c>
      <c r="B89" s="432">
        <f>+Inflation!E101*100</f>
        <v>1.4842300556723975</v>
      </c>
    </row>
    <row r="90" spans="1:2">
      <c r="A90" s="236" t="s">
        <v>733</v>
      </c>
      <c r="B90" s="432">
        <f>+Inflation!E102*100</f>
        <v>0.54945054853487996</v>
      </c>
    </row>
    <row r="91" spans="1:2">
      <c r="A91" s="236" t="s">
        <v>734</v>
      </c>
      <c r="B91" s="432">
        <f>+Inflation!E103*100</f>
        <v>0.18281535649153913</v>
      </c>
    </row>
    <row r="92" spans="1:2">
      <c r="A92" s="236" t="s">
        <v>735</v>
      </c>
      <c r="B92" s="432">
        <f>+Inflation!E104*100</f>
        <v>1.3812154696259293</v>
      </c>
    </row>
    <row r="93" spans="1:2">
      <c r="A93" s="236" t="s">
        <v>736</v>
      </c>
      <c r="B93" s="432">
        <f>+Inflation!E105*100</f>
        <v>0.46125461255042133</v>
      </c>
    </row>
    <row r="94" spans="1:2">
      <c r="A94" s="236" t="s">
        <v>737</v>
      </c>
      <c r="B94" s="432">
        <f>+Inflation!E106*100</f>
        <v>-0.18467220683447971</v>
      </c>
    </row>
    <row r="95" spans="1:2">
      <c r="A95" s="236" t="s">
        <v>738</v>
      </c>
      <c r="B95" s="432">
        <f>+Inflation!E107*100</f>
        <v>0.27777777685180638</v>
      </c>
    </row>
    <row r="96" spans="1:2">
      <c r="A96" s="236" t="s">
        <v>739</v>
      </c>
      <c r="B96" s="432">
        <f>+Inflation!E108*100</f>
        <v>-0.64575645664797232</v>
      </c>
    </row>
    <row r="97" spans="1:2">
      <c r="A97" s="236" t="s">
        <v>740</v>
      </c>
      <c r="B97" s="432">
        <f>+Inflation!E109*100</f>
        <v>9.2850509749342613E-2</v>
      </c>
    </row>
    <row r="98" spans="1:2">
      <c r="A98" s="236" t="s">
        <v>741</v>
      </c>
      <c r="B98" s="432">
        <f>+Inflation!E110*100</f>
        <v>0.92506938021199581</v>
      </c>
    </row>
    <row r="99" spans="1:2">
      <c r="A99" s="236" t="s">
        <v>742</v>
      </c>
      <c r="B99" s="432">
        <f>+Inflation!E111*100</f>
        <v>2.6851851842593311</v>
      </c>
    </row>
    <row r="100" spans="1:2">
      <c r="A100" s="236" t="s">
        <v>743</v>
      </c>
      <c r="B100" s="432">
        <f>+Inflation!E112*100</f>
        <v>0.64338235386616205</v>
      </c>
    </row>
    <row r="101" spans="1:2">
      <c r="A101" s="236" t="s">
        <v>744</v>
      </c>
      <c r="B101" s="432">
        <f>+Inflation!E113*100</f>
        <v>2.7422303473741971</v>
      </c>
    </row>
    <row r="102" spans="1:2">
      <c r="A102" s="236" t="s">
        <v>745</v>
      </c>
      <c r="B102" s="432">
        <f>+Inflation!E114*100</f>
        <v>3.1876138433805545</v>
      </c>
    </row>
    <row r="103" spans="1:2">
      <c r="A103" s="236" t="s">
        <v>746</v>
      </c>
      <c r="B103" s="432">
        <f>+Inflation!E115*100</f>
        <v>1.3686131386985823</v>
      </c>
    </row>
    <row r="104" spans="1:2">
      <c r="A104" s="236" t="s">
        <v>747</v>
      </c>
      <c r="B104" s="432">
        <f>+Inflation!E116*100</f>
        <v>0.999091735703872</v>
      </c>
    </row>
    <row r="105" spans="1:2">
      <c r="A105" s="236" t="s">
        <v>748</v>
      </c>
      <c r="B105" s="432">
        <f>+Inflation!E117*100</f>
        <v>1.6528925629168523</v>
      </c>
    </row>
    <row r="106" spans="1:2">
      <c r="A106" s="236" t="s">
        <v>749</v>
      </c>
      <c r="B106" s="432">
        <f>+Inflation!E118*100</f>
        <v>3.3302497696885647</v>
      </c>
    </row>
    <row r="107" spans="1:2">
      <c r="A107" s="236" t="s">
        <v>750</v>
      </c>
      <c r="B107" s="432">
        <f>+Inflation!E119*100</f>
        <v>4.3397968615359162</v>
      </c>
    </row>
    <row r="108" spans="1:2">
      <c r="A108" s="236" t="s">
        <v>751</v>
      </c>
      <c r="B108" s="432">
        <f>+Inflation!E120*100</f>
        <v>4.1782729805012853</v>
      </c>
    </row>
    <row r="109" spans="1:2">
      <c r="A109" s="236" t="s">
        <v>752</v>
      </c>
      <c r="B109" s="432">
        <f>+Inflation!E121*100</f>
        <v>3.3395176252627223</v>
      </c>
    </row>
    <row r="110" spans="1:2">
      <c r="A110" s="236" t="s">
        <v>753</v>
      </c>
      <c r="B110" s="432">
        <f>+Inflation!E122*100</f>
        <v>1.5582034830573965</v>
      </c>
    </row>
    <row r="111" spans="1:2">
      <c r="A111" s="236" t="s">
        <v>754</v>
      </c>
      <c r="B111" s="432">
        <f>+Inflation!E123*100</f>
        <v>-0.27051397655802889</v>
      </c>
    </row>
    <row r="112" spans="1:2">
      <c r="A112" s="236" t="s">
        <v>755</v>
      </c>
      <c r="B112" s="432">
        <f>+Inflation!E124*100</f>
        <v>9.1324200000042488E-2</v>
      </c>
    </row>
    <row r="113" spans="1:2">
      <c r="A113" s="236" t="s">
        <v>756</v>
      </c>
      <c r="B113" s="432">
        <f>+Inflation!E125*100</f>
        <v>-2.2241992882760742</v>
      </c>
    </row>
    <row r="114" spans="1:2">
      <c r="A114" s="236" t="s">
        <v>757</v>
      </c>
      <c r="B114" s="432">
        <f>+Inflation!E126*100</f>
        <v>-3.0891438658701476</v>
      </c>
    </row>
    <row r="115" spans="1:2">
      <c r="A115" s="236" t="s">
        <v>758</v>
      </c>
      <c r="B115" s="432">
        <f>+Inflation!E127*100</f>
        <v>-1.5301530153151832</v>
      </c>
    </row>
    <row r="116" spans="1:2">
      <c r="A116" s="236" t="s">
        <v>759</v>
      </c>
      <c r="B116" s="432">
        <f>+Inflation!E128*100</f>
        <v>-0.26978417356110507</v>
      </c>
    </row>
    <row r="117" spans="1:2">
      <c r="A117" s="236" t="s">
        <v>760</v>
      </c>
      <c r="B117" s="432">
        <f>+Inflation!E129*100</f>
        <v>-9.0334237579092758E-2</v>
      </c>
    </row>
    <row r="118" spans="1:2">
      <c r="A118" s="236" t="s">
        <v>761</v>
      </c>
      <c r="B118" s="432">
        <f>+Inflation!E130*100</f>
        <v>-0.89525514771719994</v>
      </c>
    </row>
    <row r="119" spans="1:2">
      <c r="A119" s="236" t="s">
        <v>762</v>
      </c>
      <c r="B119" s="432">
        <f>+Inflation!E131*100</f>
        <v>-2.5663716823007832</v>
      </c>
    </row>
    <row r="120" spans="1:2">
      <c r="A120" s="236" t="s">
        <v>763</v>
      </c>
      <c r="B120" s="432">
        <f>+Inflation!E132*100</f>
        <v>-1.1586452771834788</v>
      </c>
    </row>
    <row r="121" spans="1:2">
      <c r="A121" s="236" t="s">
        <v>764</v>
      </c>
      <c r="B121" s="432">
        <f>+Inflation!E133*100</f>
        <v>-0.98743267505371213</v>
      </c>
    </row>
    <row r="122" spans="1:2">
      <c r="A122" s="236" t="s">
        <v>765</v>
      </c>
      <c r="B122" s="432">
        <f>+Inflation!E134*100</f>
        <v>0.27075812274608424</v>
      </c>
    </row>
    <row r="123" spans="1:2">
      <c r="A123" s="236" t="s">
        <v>766</v>
      </c>
      <c r="B123" s="432">
        <f>+Inflation!E135*100</f>
        <v>2.2603978300385963</v>
      </c>
    </row>
    <row r="124" spans="1:2">
      <c r="A124" s="236" t="s">
        <v>767</v>
      </c>
      <c r="B124" s="432">
        <f>+Inflation!E136*100</f>
        <v>1.4598540155242867</v>
      </c>
    </row>
    <row r="125" spans="1:2">
      <c r="A125" s="236" t="s">
        <v>768</v>
      </c>
      <c r="B125" s="432">
        <f>+Inflation!E137*100</f>
        <v>6.6424021847739212</v>
      </c>
    </row>
    <row r="126" spans="1:2">
      <c r="A126" s="236" t="s">
        <v>769</v>
      </c>
      <c r="B126" s="432">
        <f>+Inflation!E138*100</f>
        <v>5.9198542805638299</v>
      </c>
    </row>
    <row r="127" spans="1:2">
      <c r="A127" s="236" t="s">
        <v>770</v>
      </c>
      <c r="B127" s="432">
        <f>+Inflation!E139*100</f>
        <v>4.0219378428153929</v>
      </c>
    </row>
    <row r="128" spans="1:2">
      <c r="A128" s="236" t="s">
        <v>771</v>
      </c>
      <c r="B128" s="432">
        <f>+Inflation!E140*100</f>
        <v>1.9837691614244868</v>
      </c>
    </row>
    <row r="129" spans="1:2">
      <c r="A129" s="236" t="s">
        <v>772</v>
      </c>
      <c r="B129" s="432">
        <f>+Inflation!E141*100</f>
        <v>5.0632911401904845</v>
      </c>
    </row>
    <row r="130" spans="1:2">
      <c r="A130" s="236" t="s">
        <v>773</v>
      </c>
      <c r="B130" s="432">
        <f>+Inflation!E142*100</f>
        <v>5.6007226729901882</v>
      </c>
    </row>
    <row r="131" spans="1:2">
      <c r="A131" s="236" t="s">
        <v>774</v>
      </c>
      <c r="B131" s="432">
        <f>+Inflation!E143*100</f>
        <v>5.6312443233935028</v>
      </c>
    </row>
    <row r="132" spans="1:2">
      <c r="A132" s="236" t="s">
        <v>775</v>
      </c>
      <c r="B132" s="432">
        <f>+Inflation!E144*100</f>
        <v>4.1478809747893752</v>
      </c>
    </row>
    <row r="133" spans="1:2">
      <c r="A133" s="236" t="s">
        <v>776</v>
      </c>
      <c r="B133" s="432">
        <f>+Inflation!E145*100</f>
        <v>6.1650045331475223</v>
      </c>
    </row>
    <row r="134" spans="1:2">
      <c r="A134" s="236" t="s">
        <v>777</v>
      </c>
      <c r="B134" s="432">
        <f>+Inflation!E146*100</f>
        <v>6.4806480648648579</v>
      </c>
    </row>
    <row r="135" spans="1:2">
      <c r="A135" s="236" t="s">
        <v>778</v>
      </c>
      <c r="B135" s="432">
        <f>+Inflation!E147*100</f>
        <v>6.2776304165011343</v>
      </c>
    </row>
    <row r="136" spans="1:2">
      <c r="A136" s="236" t="s">
        <v>779</v>
      </c>
      <c r="B136" s="432">
        <f>+Inflation!E148*100</f>
        <v>10.791366906474886</v>
      </c>
    </row>
    <row r="137" spans="1:2">
      <c r="A137" s="236" t="s">
        <v>780</v>
      </c>
      <c r="B137" s="432">
        <f>+Inflation!E149*100</f>
        <v>7.5938566544367703</v>
      </c>
    </row>
    <row r="138" spans="1:2">
      <c r="A138" s="236" t="s">
        <v>781</v>
      </c>
      <c r="B138" s="432">
        <f>+Inflation!E150*100</f>
        <v>8.3404987111636686</v>
      </c>
    </row>
    <row r="139" spans="1:2">
      <c r="A139" s="236" t="s">
        <v>782</v>
      </c>
      <c r="B139" s="432">
        <f>+Inflation!E151*100</f>
        <v>9.6660808436701764</v>
      </c>
    </row>
    <row r="140" spans="1:2">
      <c r="A140" s="236" t="s">
        <v>783</v>
      </c>
      <c r="B140" s="432">
        <f>+Inflation!E152*100</f>
        <v>9.7259062777163905</v>
      </c>
    </row>
    <row r="141" spans="1:2">
      <c r="A141" s="236" t="s">
        <v>784</v>
      </c>
      <c r="B141" s="432">
        <f>+Inflation!E153*100</f>
        <v>6.5404475034423815</v>
      </c>
    </row>
    <row r="142" spans="1:2">
      <c r="A142" s="236" t="s">
        <v>785</v>
      </c>
      <c r="B142" s="432">
        <f>+Inflation!E154*100</f>
        <v>7.4422583405254317</v>
      </c>
    </row>
    <row r="143" spans="1:2">
      <c r="A143" s="236" t="s">
        <v>786</v>
      </c>
      <c r="B143" s="432">
        <f>+Inflation!E155*100</f>
        <v>9.9742046432500722</v>
      </c>
    </row>
    <row r="144" spans="1:2">
      <c r="A144" s="236" t="s">
        <v>787</v>
      </c>
      <c r="B144" s="432">
        <f>+Inflation!E156*100</f>
        <v>11.515151514285659</v>
      </c>
    </row>
    <row r="145" spans="1:2">
      <c r="A145" s="236" t="s">
        <v>788</v>
      </c>
      <c r="B145" s="432">
        <f>+Inflation!E157*100</f>
        <v>10.162254484288336</v>
      </c>
    </row>
    <row r="146" spans="1:2">
      <c r="A146" s="236" t="s">
        <v>789</v>
      </c>
      <c r="B146" s="432">
        <f>+Inflation!E158*100</f>
        <v>9.0448013534154548</v>
      </c>
    </row>
    <row r="147" spans="1:2">
      <c r="A147" s="236" t="s">
        <v>790</v>
      </c>
      <c r="B147" s="432">
        <f>+Inflation!E159*100</f>
        <v>9.4841930108152894</v>
      </c>
    </row>
    <row r="148" spans="1:2">
      <c r="A148" s="236" t="s">
        <v>791</v>
      </c>
      <c r="B148" s="432">
        <f>+Inflation!E160*100</f>
        <v>9.2532467524350395</v>
      </c>
    </row>
    <row r="149" spans="1:2">
      <c r="A149" s="236" t="s">
        <v>792</v>
      </c>
      <c r="B149" s="432">
        <f>+Inflation!E161*100</f>
        <v>7.5337034100518396</v>
      </c>
    </row>
    <row r="150" spans="1:2">
      <c r="A150" s="236" t="s">
        <v>793</v>
      </c>
      <c r="B150" s="432">
        <f>+Inflation!E162*100</f>
        <v>11.984126983333375</v>
      </c>
    </row>
    <row r="151" spans="1:2">
      <c r="A151" s="236" t="s">
        <v>794</v>
      </c>
      <c r="B151" s="432">
        <f>+Inflation!E163*100</f>
        <v>12.41987179497135</v>
      </c>
    </row>
    <row r="152" spans="1:2">
      <c r="A152" s="236" t="s">
        <v>795</v>
      </c>
      <c r="B152" s="432">
        <f>+Inflation!E164*100</f>
        <v>12.409347301469875</v>
      </c>
    </row>
    <row r="153" spans="1:2">
      <c r="A153" s="236" t="s">
        <v>796</v>
      </c>
      <c r="B153" s="432">
        <f>+Inflation!E165*100</f>
        <v>15.185783521931985</v>
      </c>
    </row>
    <row r="154" spans="1:2">
      <c r="A154" s="236" t="s">
        <v>797</v>
      </c>
      <c r="B154" s="432">
        <f>+Inflation!E166*100</f>
        <v>15.366242038338896</v>
      </c>
    </row>
    <row r="155" spans="1:2">
      <c r="A155" s="236" t="s">
        <v>798</v>
      </c>
      <c r="B155" s="432">
        <f>+Inflation!E167*100</f>
        <v>19.624706803124447</v>
      </c>
    </row>
    <row r="156" spans="1:2">
      <c r="A156" s="236" t="s">
        <v>799</v>
      </c>
      <c r="B156" s="432">
        <f>+Inflation!E168*100</f>
        <v>12.034161490776697</v>
      </c>
    </row>
    <row r="157" spans="1:2">
      <c r="A157" s="236" t="s">
        <v>800</v>
      </c>
      <c r="B157" s="432">
        <f>+Inflation!E169*100</f>
        <v>9.922480619379769</v>
      </c>
    </row>
    <row r="158" spans="1:2">
      <c r="A158" s="236" t="s">
        <v>801</v>
      </c>
      <c r="B158" s="432">
        <f>+Inflation!E170*100</f>
        <v>13.565891472868108</v>
      </c>
    </row>
    <row r="159" spans="1:2">
      <c r="A159" s="236" t="s">
        <v>802</v>
      </c>
      <c r="B159" s="432">
        <f>+Inflation!E171*100</f>
        <v>14.133738602691048</v>
      </c>
    </row>
    <row r="160" spans="1:2">
      <c r="A160" s="236" t="s">
        <v>803</v>
      </c>
      <c r="B160" s="432">
        <f>+Inflation!E172*100</f>
        <v>20.950965824821232</v>
      </c>
    </row>
    <row r="161" spans="1:2">
      <c r="A161" s="236" t="s">
        <v>804</v>
      </c>
      <c r="B161" s="432">
        <f>+Inflation!E173*100</f>
        <v>36.79941003050746</v>
      </c>
    </row>
    <row r="162" spans="1:2">
      <c r="A162" s="236" t="s">
        <v>805</v>
      </c>
      <c r="B162" s="432">
        <f>+Inflation!E174*100</f>
        <v>30.191353650816399</v>
      </c>
    </row>
    <row r="163" spans="1:2">
      <c r="A163" s="236" t="s">
        <v>806</v>
      </c>
      <c r="B163" s="432">
        <f>+Inflation!E175*100</f>
        <v>27.227369922503406</v>
      </c>
    </row>
    <row r="164" spans="1:2">
      <c r="A164" s="236" t="s">
        <v>807</v>
      </c>
      <c r="B164" s="432">
        <f>+Inflation!E176*100</f>
        <v>28.960573475985729</v>
      </c>
    </row>
    <row r="165" spans="1:2">
      <c r="A165" s="236" t="s">
        <v>808</v>
      </c>
      <c r="B165" s="432">
        <f>+Inflation!E177*100</f>
        <v>26.367461431461269</v>
      </c>
    </row>
    <row r="166" spans="1:2">
      <c r="A166" s="236" t="s">
        <v>809</v>
      </c>
      <c r="B166" s="432">
        <f>+Inflation!E178*100</f>
        <v>21.808143548114668</v>
      </c>
    </row>
    <row r="167" spans="1:2">
      <c r="A167" s="236" t="s">
        <v>810</v>
      </c>
      <c r="B167" s="432">
        <f>+Inflation!E179*100</f>
        <v>17.843137254248397</v>
      </c>
    </row>
    <row r="168" spans="1:2">
      <c r="A168" s="236" t="s">
        <v>811</v>
      </c>
      <c r="B168" s="432">
        <f>+Inflation!E180*100</f>
        <v>22.591822591979117</v>
      </c>
    </row>
    <row r="169" spans="1:2">
      <c r="A169" s="236" t="s">
        <v>812</v>
      </c>
      <c r="B169" s="432">
        <f>+Inflation!E181*100</f>
        <v>25.035260931065139</v>
      </c>
    </row>
    <row r="170" spans="1:2">
      <c r="A170" s="236" t="s">
        <v>813</v>
      </c>
      <c r="B170" s="432">
        <f>+Inflation!E182*100</f>
        <v>24.368600682593964</v>
      </c>
    </row>
    <row r="171" spans="1:2">
      <c r="A171" s="236" t="s">
        <v>814</v>
      </c>
      <c r="B171" s="432">
        <f>+Inflation!E183*100</f>
        <v>21.970705725699013</v>
      </c>
    </row>
    <row r="172" spans="1:2">
      <c r="A172" s="236" t="s">
        <v>815</v>
      </c>
      <c r="B172" s="432">
        <f>+Inflation!E184*100</f>
        <v>14.434889434978171</v>
      </c>
    </row>
    <row r="173" spans="1:2">
      <c r="A173" s="236" t="s">
        <v>816</v>
      </c>
      <c r="B173" s="432">
        <f>+Inflation!E185*100</f>
        <v>2.048517519676496</v>
      </c>
    </row>
    <row r="174" spans="1:2">
      <c r="A174" s="236" t="s">
        <v>817</v>
      </c>
      <c r="B174" s="432">
        <f>+Inflation!E186*100</f>
        <v>5.4436580838346238E-2</v>
      </c>
    </row>
    <row r="175" spans="1:2">
      <c r="A175" s="236" t="s">
        <v>818</v>
      </c>
      <c r="B175" s="432">
        <f>+Inflation!E187*100</f>
        <v>1.9607843137254832</v>
      </c>
    </row>
    <row r="176" spans="1:2">
      <c r="A176" s="236" t="s">
        <v>819</v>
      </c>
      <c r="B176" s="432">
        <f>+Inflation!E188*100</f>
        <v>4.6692607004150011</v>
      </c>
    </row>
    <row r="177" spans="1:2">
      <c r="A177" s="236" t="s">
        <v>820</v>
      </c>
      <c r="B177" s="432">
        <f>+Inflation!E189*100</f>
        <v>4.273029966148667</v>
      </c>
    </row>
    <row r="178" spans="1:2">
      <c r="A178" s="236" t="s">
        <v>821</v>
      </c>
      <c r="B178" s="432">
        <f>+Inflation!E190*100</f>
        <v>5.5524079314448471</v>
      </c>
    </row>
    <row r="179" spans="1:2">
      <c r="A179" s="236" t="s">
        <v>822</v>
      </c>
      <c r="B179" s="432">
        <f>+Inflation!E191*100</f>
        <v>7.5984470333199772</v>
      </c>
    </row>
    <row r="180" spans="1:2">
      <c r="A180" s="236" t="s">
        <v>823</v>
      </c>
      <c r="B180" s="432">
        <f>+Inflation!E192*100</f>
        <v>13.397399660901632</v>
      </c>
    </row>
    <row r="181" spans="1:2">
      <c r="A181" s="236" t="s">
        <v>824</v>
      </c>
      <c r="B181" s="432">
        <f>+Inflation!E193*100</f>
        <v>11.223914270226709</v>
      </c>
    </row>
    <row r="182" spans="1:2">
      <c r="A182" s="236" t="s">
        <v>825</v>
      </c>
      <c r="B182" s="432">
        <f>+Inflation!E194*100</f>
        <v>7.5192096591657043</v>
      </c>
    </row>
    <row r="183" spans="1:2">
      <c r="A183" s="236" t="s">
        <v>826</v>
      </c>
      <c r="B183" s="432">
        <f>+Inflation!E195*100</f>
        <v>8.6790393007638134</v>
      </c>
    </row>
    <row r="184" spans="1:2">
      <c r="A184" s="236" t="s">
        <v>827</v>
      </c>
      <c r="B184" s="432">
        <f>+Inflation!E196*100</f>
        <v>4.8845947396933154</v>
      </c>
    </row>
    <row r="185" spans="1:2">
      <c r="A185" s="236" t="s">
        <v>828</v>
      </c>
      <c r="B185" s="432">
        <f>+Inflation!E197*100</f>
        <v>6.7089276286674826</v>
      </c>
    </row>
    <row r="186" spans="1:2">
      <c r="A186" s="236" t="s">
        <v>829</v>
      </c>
      <c r="B186" s="432">
        <f>+Inflation!E198*100</f>
        <v>10.010881393416881</v>
      </c>
    </row>
    <row r="187" spans="1:2">
      <c r="A187" s="236" t="s">
        <v>830</v>
      </c>
      <c r="B187" s="432">
        <f>+Inflation!E199*100</f>
        <v>9.7802197796704746</v>
      </c>
    </row>
    <row r="188" spans="1:2">
      <c r="A188" s="236" t="s">
        <v>831</v>
      </c>
      <c r="B188" s="432">
        <f>+Inflation!E200*100</f>
        <v>5.7355284121384242</v>
      </c>
    </row>
    <row r="189" spans="1:2">
      <c r="A189" s="236" t="s">
        <v>832</v>
      </c>
      <c r="B189" s="432">
        <f>+Inflation!E201*100</f>
        <v>3.885045237381024</v>
      </c>
    </row>
    <row r="190" spans="1:2">
      <c r="A190" s="236" t="s">
        <v>833</v>
      </c>
      <c r="B190" s="432">
        <f>+Inflation!E202*100</f>
        <v>4.6698872791446799</v>
      </c>
    </row>
    <row r="191" spans="1:2">
      <c r="A191" s="236" t="s">
        <v>834</v>
      </c>
      <c r="B191" s="432">
        <f>+Inflation!E203*100</f>
        <v>2.2680412365980507</v>
      </c>
    </row>
    <row r="192" spans="1:2">
      <c r="A192" s="236" t="s">
        <v>835</v>
      </c>
      <c r="B192" s="432">
        <f>+Inflation!E204*100</f>
        <v>-0.49850448654312762</v>
      </c>
    </row>
    <row r="193" spans="1:2">
      <c r="A193" s="236" t="s">
        <v>836</v>
      </c>
      <c r="B193" s="432">
        <f>+Inflation!E205*100</f>
        <v>0.35496957353009506</v>
      </c>
    </row>
    <row r="194" spans="1:2">
      <c r="A194" s="236" t="s">
        <v>837</v>
      </c>
      <c r="B194" s="432">
        <f>+Inflation!E206*100</f>
        <v>3.5222052067559684</v>
      </c>
    </row>
    <row r="195" spans="1:2">
      <c r="A195" s="236" t="s">
        <v>838</v>
      </c>
      <c r="B195" s="432">
        <f>+Inflation!E207*100</f>
        <v>3.3651431441655832</v>
      </c>
    </row>
    <row r="196" spans="1:2">
      <c r="A196" s="236" t="s">
        <v>839</v>
      </c>
      <c r="B196" s="432">
        <f>+Inflation!E208*100</f>
        <v>5.0153531223387615</v>
      </c>
    </row>
    <row r="197" spans="1:2">
      <c r="A197" s="236" t="s">
        <v>840</v>
      </c>
      <c r="B197" s="432">
        <f>+Inflation!E209*100</f>
        <v>4.1584158410890248</v>
      </c>
    </row>
    <row r="198" spans="1:2">
      <c r="A198" s="236" t="s">
        <v>841</v>
      </c>
      <c r="B198" s="432">
        <f>+Inflation!E210*100</f>
        <v>10.237388723540786</v>
      </c>
    </row>
    <row r="199" spans="1:2">
      <c r="A199" s="236" t="s">
        <v>842</v>
      </c>
      <c r="B199" s="432">
        <f>+Inflation!E211*100</f>
        <v>8.7087087092525994</v>
      </c>
    </row>
    <row r="200" spans="1:2">
      <c r="A200" s="236" t="s">
        <v>843</v>
      </c>
      <c r="B200" s="432">
        <f>+Inflation!E212*100</f>
        <v>9.3922651934174048</v>
      </c>
    </row>
    <row r="201" spans="1:2">
      <c r="A201" s="236" t="s">
        <v>844</v>
      </c>
      <c r="B201" s="432">
        <f>+Inflation!E213*100</f>
        <v>12.44877049180344</v>
      </c>
    </row>
    <row r="202" spans="1:2">
      <c r="A202" s="236" t="s">
        <v>845</v>
      </c>
      <c r="B202" s="432">
        <f>+Inflation!E214*100</f>
        <v>12.461538461025201</v>
      </c>
    </row>
    <row r="203" spans="1:2">
      <c r="A203" s="236" t="s">
        <v>846</v>
      </c>
      <c r="B203" s="432">
        <f>+Inflation!E215*100</f>
        <v>9.3245967742407121</v>
      </c>
    </row>
    <row r="204" spans="1:2">
      <c r="A204" s="236" t="s">
        <v>847</v>
      </c>
      <c r="B204" s="432">
        <f>+Inflation!E216*100</f>
        <v>9.519038076199827</v>
      </c>
    </row>
    <row r="205" spans="1:2">
      <c r="A205" s="236" t="s">
        <v>848</v>
      </c>
      <c r="B205" s="432">
        <f>+Inflation!E217*100</f>
        <v>11.773623042504532</v>
      </c>
    </row>
    <row r="206" spans="1:2">
      <c r="A206" s="236" t="s">
        <v>849</v>
      </c>
      <c r="B206" s="432">
        <f>+Inflation!E218*100</f>
        <v>10.009861932988095</v>
      </c>
    </row>
    <row r="207" spans="1:2">
      <c r="A207" s="236" t="s">
        <v>850</v>
      </c>
      <c r="B207" s="432">
        <f>+Inflation!E219*100</f>
        <v>9.3780369291035051</v>
      </c>
    </row>
    <row r="208" spans="1:2">
      <c r="A208" s="236" t="s">
        <v>851</v>
      </c>
      <c r="B208" s="432">
        <f>+Inflation!E220*100</f>
        <v>10.331384015107581</v>
      </c>
    </row>
    <row r="209" spans="1:2">
      <c r="A209" s="236" t="s">
        <v>852</v>
      </c>
      <c r="B209" s="432">
        <f>+Inflation!E221*100</f>
        <v>10.313688212976579</v>
      </c>
    </row>
    <row r="210" spans="1:2">
      <c r="A210" s="236" t="s">
        <v>853</v>
      </c>
      <c r="B210" s="432">
        <f>+Inflation!E222*100</f>
        <v>3.8133692238849104</v>
      </c>
    </row>
    <row r="211" spans="1:2">
      <c r="A211" s="236" t="s">
        <v>854</v>
      </c>
      <c r="B211" s="432">
        <f>+Inflation!E223*100</f>
        <v>5.9852670349910708</v>
      </c>
    </row>
    <row r="212" spans="1:2">
      <c r="A212" s="236" t="s">
        <v>855</v>
      </c>
      <c r="B212" s="432">
        <f>+Inflation!E224*100</f>
        <v>7.0707070711989894</v>
      </c>
    </row>
    <row r="213" spans="1:2">
      <c r="A213" s="236" t="s">
        <v>856</v>
      </c>
      <c r="B213" s="432">
        <f>+Inflation!E225*100</f>
        <v>8.1548974938495</v>
      </c>
    </row>
    <row r="214" spans="1:2">
      <c r="A214" s="236" t="s">
        <v>857</v>
      </c>
      <c r="B214" s="432">
        <f>+Inflation!E226*100</f>
        <v>8.8007295942039487</v>
      </c>
    </row>
    <row r="215" spans="1:2">
      <c r="A215" s="236" t="s">
        <v>858</v>
      </c>
      <c r="B215" s="432">
        <f>+Inflation!E227*100</f>
        <v>11.111111111623195</v>
      </c>
    </row>
    <row r="216" spans="1:2">
      <c r="A216" s="236" t="s">
        <v>859</v>
      </c>
      <c r="B216" s="432">
        <f>+Inflation!E228*100</f>
        <v>14.04391582806066</v>
      </c>
    </row>
    <row r="217" spans="1:2">
      <c r="A217" s="236" t="s">
        <v>860</v>
      </c>
      <c r="B217" s="432">
        <f>+Inflation!E229*100</f>
        <v>14.556962024864539</v>
      </c>
    </row>
    <row r="218" spans="1:2">
      <c r="A218" s="236" t="s">
        <v>861</v>
      </c>
      <c r="B218" s="432">
        <f>+Inflation!E230*100</f>
        <v>16.62931420939784</v>
      </c>
    </row>
    <row r="219" spans="1:2">
      <c r="A219" s="236" t="s">
        <v>862</v>
      </c>
      <c r="B219" s="432">
        <f>+Inflation!E231*100</f>
        <v>16.836961351029501</v>
      </c>
    </row>
    <row r="220" spans="1:2">
      <c r="A220" s="236" t="s">
        <v>863</v>
      </c>
      <c r="B220" s="432">
        <f>+Inflation!E232*100</f>
        <v>17.579505300872754</v>
      </c>
    </row>
    <row r="221" spans="1:2">
      <c r="A221" s="236" t="s">
        <v>864</v>
      </c>
      <c r="B221" s="432">
        <f>+Inflation!E233*100</f>
        <v>22.61956053434977</v>
      </c>
    </row>
    <row r="222" spans="1:2">
      <c r="A222" s="236" t="s">
        <v>865</v>
      </c>
      <c r="B222" s="432">
        <f>+Inflation!E234*100</f>
        <v>22.860847018248688</v>
      </c>
    </row>
    <row r="223" spans="1:2">
      <c r="A223" s="236" t="s">
        <v>866</v>
      </c>
      <c r="B223" s="432">
        <f>+Inflation!E235*100</f>
        <v>19.982623805386289</v>
      </c>
    </row>
    <row r="224" spans="1:2">
      <c r="A224" s="236" t="s">
        <v>867</v>
      </c>
      <c r="B224" s="432">
        <f>+Inflation!E236*100</f>
        <v>20.497427101200969</v>
      </c>
    </row>
    <row r="225" spans="1:2">
      <c r="A225" s="236" t="s">
        <v>868</v>
      </c>
      <c r="B225" s="432">
        <f>+Inflation!E237*100</f>
        <v>27.211457456306377</v>
      </c>
    </row>
    <row r="226" spans="1:2">
      <c r="A226" s="236" t="s">
        <v>869</v>
      </c>
      <c r="B226" s="432">
        <f>+Inflation!E238*100</f>
        <v>30.050293378164049</v>
      </c>
    </row>
    <row r="227" spans="1:2">
      <c r="A227" s="236" t="s">
        <v>870</v>
      </c>
      <c r="B227" s="432">
        <f>+Inflation!E239*100</f>
        <v>36.099585062240692</v>
      </c>
    </row>
    <row r="228" spans="1:2">
      <c r="A228" s="236" t="s">
        <v>871</v>
      </c>
      <c r="B228" s="432">
        <f>+Inflation!E240*100</f>
        <v>33.894905736196847</v>
      </c>
    </row>
    <row r="229" spans="1:2">
      <c r="A229" s="236" t="s">
        <v>872</v>
      </c>
      <c r="B229" s="432">
        <f>+Inflation!E241*100</f>
        <v>33.583267561695493</v>
      </c>
    </row>
    <row r="230" spans="1:2">
      <c r="A230" s="236" t="s">
        <v>873</v>
      </c>
      <c r="B230" s="432">
        <f>+Inflation!E242*100</f>
        <v>34.511913912375135</v>
      </c>
    </row>
    <row r="231" spans="1:2">
      <c r="A231" s="236" t="s">
        <v>874</v>
      </c>
      <c r="B231" s="432">
        <f>+Inflation!E243*100</f>
        <v>35.703422052851884</v>
      </c>
    </row>
    <row r="232" spans="1:2">
      <c r="A232" s="236" t="s">
        <v>875</v>
      </c>
      <c r="B232" s="432">
        <f>+Inflation!E244*100</f>
        <v>33.809166040195279</v>
      </c>
    </row>
    <row r="233" spans="1:2">
      <c r="A233" s="236" t="s">
        <v>876</v>
      </c>
      <c r="B233" s="432">
        <f>+Inflation!E245*100</f>
        <v>28.074490513450879</v>
      </c>
    </row>
    <row r="234" spans="1:2">
      <c r="A234" s="236" t="s">
        <v>877</v>
      </c>
      <c r="B234" s="432">
        <f>+Inflation!E246*100</f>
        <v>28.315160042308474</v>
      </c>
    </row>
    <row r="235" spans="1:2">
      <c r="A235" s="236" t="s">
        <v>878</v>
      </c>
      <c r="B235" s="432">
        <f>+Inflation!E247*100</f>
        <v>33.816075307386328</v>
      </c>
    </row>
    <row r="236" spans="1:2">
      <c r="A236" s="236" t="s">
        <v>879</v>
      </c>
      <c r="B236" s="432">
        <f>+Inflation!E248*100</f>
        <v>33.701067615302094</v>
      </c>
    </row>
    <row r="237" spans="1:2">
      <c r="A237" s="236" t="s">
        <v>880</v>
      </c>
      <c r="B237" s="432">
        <f>+Inflation!E249*100</f>
        <v>26.258278145364301</v>
      </c>
    </row>
    <row r="238" spans="1:2">
      <c r="A238" s="236" t="s">
        <v>881</v>
      </c>
      <c r="B238" s="432">
        <f>+Inflation!E250*100</f>
        <v>24.202384788991971</v>
      </c>
    </row>
    <row r="239" spans="1:2">
      <c r="A239" s="236" t="s">
        <v>882</v>
      </c>
      <c r="B239" s="432">
        <f>+Inflation!E251*100</f>
        <v>18.323170731402016</v>
      </c>
    </row>
    <row r="240" spans="1:2">
      <c r="A240" s="236" t="s">
        <v>883</v>
      </c>
      <c r="B240" s="432">
        <f>+Inflation!E252*100</f>
        <v>16.446974236118784</v>
      </c>
    </row>
    <row r="241" spans="1:2">
      <c r="A241" s="236" t="s">
        <v>884</v>
      </c>
      <c r="B241" s="432">
        <f>+Inflation!E253*100</f>
        <v>16.632200885966995</v>
      </c>
    </row>
    <row r="242" spans="1:2">
      <c r="A242" s="236" t="s">
        <v>885</v>
      </c>
      <c r="B242" s="432">
        <f>+Inflation!E254*100</f>
        <v>10.685714285428748</v>
      </c>
    </row>
    <row r="243" spans="1:2">
      <c r="A243" s="236" t="s">
        <v>886</v>
      </c>
      <c r="B243" s="432">
        <f>+Inflation!E255*100</f>
        <v>8.8540207344043118</v>
      </c>
    </row>
    <row r="244" spans="1:2">
      <c r="A244" s="236" t="s">
        <v>887</v>
      </c>
      <c r="B244" s="432">
        <f>+Inflation!E256*100</f>
        <v>14.710836608688037</v>
      </c>
    </row>
    <row r="245" spans="1:2">
      <c r="A245" s="236" t="s">
        <v>888</v>
      </c>
      <c r="B245" s="432">
        <f>+Inflation!E257*100</f>
        <v>17.640603566255251</v>
      </c>
    </row>
    <row r="246" spans="1:2">
      <c r="A246" s="236" t="s">
        <v>889</v>
      </c>
      <c r="B246" s="432">
        <f>+Inflation!E258*100</f>
        <v>16.228070175757004</v>
      </c>
    </row>
    <row r="247" spans="1:2">
      <c r="A247" s="236" t="s">
        <v>890</v>
      </c>
      <c r="B247" s="432">
        <f>+Inflation!E259*100</f>
        <v>15.665584415897115</v>
      </c>
    </row>
    <row r="248" spans="1:2">
      <c r="A248" s="236" t="s">
        <v>891</v>
      </c>
      <c r="B248" s="432">
        <f>+Inflation!E260*100</f>
        <v>13.468192706983007</v>
      </c>
    </row>
    <row r="249" spans="1:2">
      <c r="A249" s="236" t="s">
        <v>892</v>
      </c>
      <c r="B249" s="432">
        <f>+Inflation!E261*100</f>
        <v>12.063991607690006</v>
      </c>
    </row>
    <row r="250" spans="1:2">
      <c r="A250" s="236" t="s">
        <v>893</v>
      </c>
      <c r="B250" s="432">
        <f>+Inflation!E262*100</f>
        <v>9.1593149974294121</v>
      </c>
    </row>
    <row r="251" spans="1:2">
      <c r="A251" s="236" t="s">
        <v>894</v>
      </c>
      <c r="B251" s="432">
        <f>+Inflation!E263*100</f>
        <v>9.1986601391633052</v>
      </c>
    </row>
    <row r="252" spans="1:2">
      <c r="A252" s="236" t="s">
        <v>895</v>
      </c>
      <c r="B252" s="432">
        <f>+Inflation!E264*100</f>
        <v>9.6989966555432794</v>
      </c>
    </row>
    <row r="253" spans="1:2">
      <c r="A253" s="236" t="s">
        <v>896</v>
      </c>
      <c r="B253" s="432">
        <f>+Inflation!E265*100</f>
        <v>10.182370820948194</v>
      </c>
    </row>
    <row r="254" spans="1:2">
      <c r="A254" s="236" t="s">
        <v>897</v>
      </c>
      <c r="B254" s="432">
        <f>+Inflation!E266*100</f>
        <v>13.448631905300545</v>
      </c>
    </row>
    <row r="255" spans="1:2">
      <c r="A255" s="236" t="s">
        <v>898</v>
      </c>
      <c r="B255" s="432">
        <f>+Inflation!E267*100</f>
        <v>15.006435006177444</v>
      </c>
    </row>
    <row r="256" spans="1:2">
      <c r="A256" s="236" t="s">
        <v>899</v>
      </c>
      <c r="B256" s="432">
        <f>+Inflation!E268*100</f>
        <v>7.0004288154918104</v>
      </c>
    </row>
    <row r="257" spans="1:2">
      <c r="A257" s="236" t="s">
        <v>900</v>
      </c>
      <c r="B257" s="432">
        <f>+Inflation!E269*100</f>
        <v>2.3907678315902237</v>
      </c>
    </row>
    <row r="258" spans="1:2">
      <c r="A258" s="236" t="s">
        <v>901</v>
      </c>
      <c r="B258" s="432">
        <f>+Inflation!E270*100</f>
        <v>4.7701937174266407</v>
      </c>
    </row>
    <row r="259" spans="1:2">
      <c r="A259" s="236" t="s">
        <v>902</v>
      </c>
      <c r="B259" s="432">
        <f>+Inflation!E271*100</f>
        <v>3.6530772324690153</v>
      </c>
    </row>
    <row r="260" spans="1:2">
      <c r="A260" s="236" t="s">
        <v>903</v>
      </c>
      <c r="B260" s="432">
        <f>+Inflation!E272*100</f>
        <v>3.9448522565902699</v>
      </c>
    </row>
    <row r="261" spans="1:2">
      <c r="A261" s="236" t="s">
        <v>904</v>
      </c>
      <c r="B261" s="432">
        <f>+Inflation!E273*100</f>
        <v>3.7015925976694009</v>
      </c>
    </row>
    <row r="262" spans="1:2">
      <c r="A262" s="236" t="s">
        <v>905</v>
      </c>
      <c r="B262" s="432">
        <f>+Inflation!E274*100</f>
        <v>6.6461816342493041</v>
      </c>
    </row>
    <row r="263" spans="1:2">
      <c r="A263" s="236" t="s">
        <v>906</v>
      </c>
      <c r="B263" s="432">
        <f>+Inflation!E275*100</f>
        <v>5.5172717975063623</v>
      </c>
    </row>
    <row r="264" spans="1:2">
      <c r="A264" s="236" t="s">
        <v>907</v>
      </c>
      <c r="B264" s="432">
        <f>+Inflation!E276*100</f>
        <v>5.2205642906362648</v>
      </c>
    </row>
    <row r="265" spans="1:2">
      <c r="A265" s="236" t="s">
        <v>908</v>
      </c>
      <c r="B265" s="432">
        <f>+Inflation!E277*100</f>
        <v>6.6236645455217014</v>
      </c>
    </row>
    <row r="266" spans="1:2">
      <c r="A266" s="236" t="s">
        <v>909</v>
      </c>
      <c r="B266" s="432">
        <f>+Inflation!E278*100</f>
        <v>6.4569359456176922</v>
      </c>
    </row>
    <row r="267" spans="1:2">
      <c r="A267" s="236" t="s">
        <v>910</v>
      </c>
      <c r="B267" s="432">
        <f>+Inflation!E279*100</f>
        <v>5.5447524900752665</v>
      </c>
    </row>
    <row r="268" spans="1:2">
      <c r="A268" s="236" t="s">
        <v>911</v>
      </c>
      <c r="B268" s="432">
        <f>+Inflation!E280*100</f>
        <v>10.481825866441351</v>
      </c>
    </row>
    <row r="269" spans="1:2">
      <c r="A269" s="236" t="s">
        <v>912</v>
      </c>
      <c r="B269" s="432">
        <f>+Inflation!E281*100</f>
        <v>10.774410774410503</v>
      </c>
    </row>
    <row r="270" spans="1:2">
      <c r="A270" s="236" t="s">
        <v>913</v>
      </c>
      <c r="B270" s="432">
        <f>+Inflation!E282*100</f>
        <v>10.066555740432669</v>
      </c>
    </row>
    <row r="271" spans="1:2">
      <c r="A271" s="236" t="s">
        <v>914</v>
      </c>
      <c r="B271" s="432">
        <f>+Inflation!E283*100</f>
        <v>10.008340283569694</v>
      </c>
    </row>
    <row r="272" spans="1:2">
      <c r="A272" s="236" t="s">
        <v>915</v>
      </c>
      <c r="B272" s="432">
        <f>+Inflation!E284*100</f>
        <v>10.508757297748271</v>
      </c>
    </row>
    <row r="273" spans="1:2">
      <c r="A273" s="236" t="s">
        <v>916</v>
      </c>
      <c r="B273" s="432">
        <f>+Inflation!E285*100</f>
        <v>13.261050875730106</v>
      </c>
    </row>
    <row r="274" spans="1:2">
      <c r="A274" s="236" t="s">
        <v>917</v>
      </c>
      <c r="B274" s="432">
        <f>+Inflation!E286*100</f>
        <v>14.168039538714661</v>
      </c>
    </row>
    <row r="275" spans="1:2">
      <c r="A275" s="236" t="s">
        <v>918</v>
      </c>
      <c r="B275" s="432">
        <f>+Inflation!E287*100</f>
        <v>17.355371900826388</v>
      </c>
    </row>
    <row r="276" spans="1:2">
      <c r="A276" s="236" t="s">
        <v>919</v>
      </c>
      <c r="B276" s="432">
        <f>+Inflation!E288*100</f>
        <v>18.780889621087148</v>
      </c>
    </row>
    <row r="277" spans="1:2">
      <c r="A277" s="236" t="s">
        <v>920</v>
      </c>
      <c r="B277" s="432">
        <f>+Inflation!E289*100</f>
        <v>15.936254980079445</v>
      </c>
    </row>
    <row r="278" spans="1:2">
      <c r="A278" s="236" t="s">
        <v>921</v>
      </c>
      <c r="B278" s="432">
        <f>+Inflation!E290*100</f>
        <v>15.323854660347669</v>
      </c>
    </row>
    <row r="279" spans="1:2">
      <c r="A279" s="236" t="s">
        <v>922</v>
      </c>
      <c r="B279" s="432">
        <f>+Inflation!E291*100</f>
        <v>14.106583072100154</v>
      </c>
    </row>
    <row r="280" spans="1:2">
      <c r="A280" s="236" t="s">
        <v>923</v>
      </c>
      <c r="B280" s="432">
        <f>+Inflation!E292*100</f>
        <v>13.159908186686753</v>
      </c>
    </row>
    <row r="281" spans="1:2">
      <c r="A281" s="236" t="s">
        <v>924</v>
      </c>
      <c r="B281" s="432">
        <f>+Inflation!E293*100</f>
        <v>13.829787234042845</v>
      </c>
    </row>
    <row r="282" spans="1:2">
      <c r="A282" s="236" t="s">
        <v>925</v>
      </c>
      <c r="B282" s="432">
        <f>+Inflation!E294*100</f>
        <v>15.721844293272792</v>
      </c>
    </row>
    <row r="283" spans="1:2">
      <c r="A283" s="236" t="s">
        <v>926</v>
      </c>
      <c r="B283" s="432">
        <f>+Inflation!E295*100</f>
        <v>16.982562547384596</v>
      </c>
    </row>
    <row r="284" spans="1:2">
      <c r="A284" s="236" t="s">
        <v>927</v>
      </c>
      <c r="B284" s="432">
        <f>+Inflation!E296*100</f>
        <v>17.35849056603762</v>
      </c>
    </row>
    <row r="285" spans="1:2">
      <c r="A285" s="236" t="s">
        <v>928</v>
      </c>
      <c r="B285" s="432">
        <f>+Inflation!E297*100</f>
        <v>19.072164948453562</v>
      </c>
    </row>
    <row r="286" spans="1:2">
      <c r="A286" s="236" t="s">
        <v>929</v>
      </c>
      <c r="B286" s="432">
        <f>+Inflation!E298*100</f>
        <v>18.759018759018776</v>
      </c>
    </row>
    <row r="287" spans="1:2">
      <c r="A287" s="236" t="s">
        <v>930</v>
      </c>
      <c r="B287" s="432">
        <f>+Inflation!E299*100</f>
        <v>20.63380281690117</v>
      </c>
    </row>
    <row r="288" spans="1:2">
      <c r="A288" s="236" t="s">
        <v>931</v>
      </c>
      <c r="B288" s="432">
        <f>+Inflation!E300*100</f>
        <v>22.052704576976588</v>
      </c>
    </row>
    <row r="289" spans="1:2">
      <c r="A289" s="236" t="s">
        <v>932</v>
      </c>
      <c r="B289" s="432">
        <f>+Inflation!E301*100</f>
        <v>25.360824742268306</v>
      </c>
    </row>
    <row r="290" spans="1:2">
      <c r="A290" s="236" t="s">
        <v>933</v>
      </c>
      <c r="B290" s="432">
        <f>+Inflation!E302*100</f>
        <v>28.493150684931745</v>
      </c>
    </row>
    <row r="291" spans="1:2">
      <c r="A291" s="236" t="s">
        <v>934</v>
      </c>
      <c r="B291" s="432">
        <f>+Inflation!E303*100</f>
        <v>29.807692307692491</v>
      </c>
    </row>
    <row r="292" spans="1:2">
      <c r="A292" s="236" t="s">
        <v>935</v>
      </c>
      <c r="B292" s="432">
        <f>+Inflation!E304*100</f>
        <v>27.450980392156964</v>
      </c>
    </row>
    <row r="293" spans="1:2">
      <c r="A293" s="236" t="s">
        <v>936</v>
      </c>
      <c r="B293" s="432">
        <f>+Inflation!E305*100</f>
        <v>26.435246995994532</v>
      </c>
    </row>
    <row r="294" spans="1:2">
      <c r="A294" s="236" t="s">
        <v>937</v>
      </c>
      <c r="B294" s="432">
        <f>+Inflation!E306*100</f>
        <v>25.342913128674226</v>
      </c>
    </row>
    <row r="295" spans="1:2">
      <c r="A295" s="236" t="s">
        <v>938</v>
      </c>
      <c r="B295" s="432">
        <f>+Inflation!E307*100</f>
        <v>24.627349319507431</v>
      </c>
    </row>
    <row r="296" spans="1:2">
      <c r="A296" s="236" t="s">
        <v>939</v>
      </c>
      <c r="B296" s="432">
        <f>+Inflation!E308*100</f>
        <v>25.337620578778044</v>
      </c>
    </row>
    <row r="297" spans="1:2">
      <c r="A297" s="236" t="s">
        <v>940</v>
      </c>
      <c r="B297" s="432">
        <f>+Inflation!E309*100</f>
        <v>21.892393320964707</v>
      </c>
    </row>
    <row r="298" spans="1:2">
      <c r="A298" s="236" t="s">
        <v>941</v>
      </c>
      <c r="B298" s="432">
        <f>+Inflation!E310*100</f>
        <v>20.473876063183582</v>
      </c>
    </row>
    <row r="299" spans="1:2">
      <c r="A299" s="236" t="s">
        <v>942</v>
      </c>
      <c r="B299" s="432">
        <f>+Inflation!E311*100</f>
        <v>27.553998832458014</v>
      </c>
    </row>
    <row r="300" spans="1:2">
      <c r="A300" s="236" t="s">
        <v>943</v>
      </c>
      <c r="B300" s="432">
        <f>+Inflation!E312*100</f>
        <v>28.863636363636157</v>
      </c>
    </row>
    <row r="301" spans="1:2">
      <c r="A301" s="236" t="s">
        <v>944</v>
      </c>
      <c r="B301" s="432">
        <f>+Inflation!E313*100</f>
        <v>27.631578947368229</v>
      </c>
    </row>
    <row r="302" spans="1:2">
      <c r="A302" s="236" t="s">
        <v>945</v>
      </c>
      <c r="B302" s="432">
        <f>+Inflation!E314*100</f>
        <v>23.987206823027705</v>
      </c>
    </row>
    <row r="303" spans="1:2">
      <c r="A303" s="236" t="s">
        <v>946</v>
      </c>
      <c r="B303" s="432">
        <f>+Inflation!E315*100</f>
        <v>23.068783068783194</v>
      </c>
    </row>
    <row r="304" spans="1:2">
      <c r="A304" s="236" t="s">
        <v>947</v>
      </c>
      <c r="B304" s="432">
        <f>+Inflation!E316*100</f>
        <v>30.291777188328982</v>
      </c>
    </row>
    <row r="305" spans="1:2">
      <c r="A305" s="236" t="s">
        <v>948</v>
      </c>
      <c r="B305" s="432">
        <f>+Inflation!E317*100</f>
        <v>37.48680042238648</v>
      </c>
    </row>
    <row r="306" spans="1:2">
      <c r="A306" s="236" t="s">
        <v>949</v>
      </c>
      <c r="B306" s="432">
        <f>+Inflation!E318*100</f>
        <v>39.864512767065996</v>
      </c>
    </row>
    <row r="307" spans="1:2">
      <c r="A307" s="236" t="s">
        <v>950</v>
      </c>
      <c r="B307" s="432">
        <f>+Inflation!E319*100</f>
        <v>40.613624544981789</v>
      </c>
    </row>
    <row r="308" spans="1:2">
      <c r="A308" s="236" t="s">
        <v>951</v>
      </c>
      <c r="B308" s="432">
        <f>+Inflation!E320*100</f>
        <v>39.661364802463048</v>
      </c>
    </row>
    <row r="309" spans="1:2">
      <c r="A309" s="236" t="s">
        <v>952</v>
      </c>
      <c r="B309" s="432">
        <f>+Inflation!E321*100</f>
        <v>39.57382039573816</v>
      </c>
    </row>
    <row r="310" spans="1:2">
      <c r="A310" s="236" t="s">
        <v>953</v>
      </c>
      <c r="B310" s="432">
        <f>+Inflation!E322*100</f>
        <v>37.670196671709434</v>
      </c>
    </row>
    <row r="311" spans="1:2">
      <c r="A311" s="236" t="s">
        <v>954</v>
      </c>
      <c r="B311" s="432">
        <f>+Inflation!E323*100</f>
        <v>26.819221967963315</v>
      </c>
    </row>
    <row r="312" spans="1:2">
      <c r="A312" s="236" t="s">
        <v>955</v>
      </c>
      <c r="B312" s="432">
        <f>+Inflation!E324*100</f>
        <v>24.338624338624413</v>
      </c>
    </row>
    <row r="313" spans="1:2">
      <c r="A313" s="236" t="s">
        <v>956</v>
      </c>
      <c r="B313" s="432">
        <f>+Inflation!E325*100</f>
        <v>23.926116838488131</v>
      </c>
    </row>
    <row r="314" spans="1:2">
      <c r="A314" s="236" t="s">
        <v>957</v>
      </c>
      <c r="B314" s="432">
        <f>+Inflation!E326*100</f>
        <v>23.172828890799568</v>
      </c>
    </row>
    <row r="315" spans="1:2">
      <c r="A315" s="236" t="s">
        <v>958</v>
      </c>
      <c r="B315" s="432">
        <f>+Inflation!E327*100</f>
        <v>24.118658641444448</v>
      </c>
    </row>
    <row r="316" spans="1:2">
      <c r="A316" s="236" t="s">
        <v>959</v>
      </c>
      <c r="B316" s="432">
        <f>+Inflation!E328*100</f>
        <v>23.697068403908705</v>
      </c>
    </row>
    <row r="317" spans="1:2">
      <c r="A317" s="236" t="s">
        <v>960</v>
      </c>
      <c r="B317" s="432">
        <f>+Inflation!E329*100</f>
        <v>20.545314900153542</v>
      </c>
    </row>
    <row r="318" spans="1:2">
      <c r="A318" s="236" t="s">
        <v>961</v>
      </c>
      <c r="B318" s="432">
        <f>+Inflation!E330*100</f>
        <v>15.648286140089574</v>
      </c>
    </row>
    <row r="319" spans="1:2">
      <c r="A319" s="236" t="s">
        <v>962</v>
      </c>
      <c r="B319" s="432">
        <f>+Inflation!E331*100</f>
        <v>15.347633136094574</v>
      </c>
    </row>
    <row r="320" spans="1:2">
      <c r="A320" s="236" t="s">
        <v>963</v>
      </c>
      <c r="B320" s="432">
        <f>+Inflation!E332*100</f>
        <v>17.817781043350365</v>
      </c>
    </row>
    <row r="321" spans="1:2">
      <c r="A321" s="236" t="s">
        <v>964</v>
      </c>
      <c r="B321" s="432">
        <f>+Inflation!E333*100</f>
        <v>18.902217375499795</v>
      </c>
    </row>
    <row r="322" spans="1:2">
      <c r="A322" s="236" t="s">
        <v>965</v>
      </c>
      <c r="B322" s="432">
        <f>+Inflation!E334*100</f>
        <v>19.230769230769273</v>
      </c>
    </row>
    <row r="323" spans="1:2">
      <c r="A323" s="236" t="s">
        <v>966</v>
      </c>
      <c r="B323" s="432">
        <f>+Inflation!E335*100</f>
        <v>19.992782389029106</v>
      </c>
    </row>
    <row r="324" spans="1:2">
      <c r="A324" s="236" t="s">
        <v>967</v>
      </c>
      <c r="B324" s="432">
        <f>+Inflation!E336*100</f>
        <v>21.418439716311966</v>
      </c>
    </row>
    <row r="325" spans="1:2">
      <c r="A325" s="236" t="s">
        <v>968</v>
      </c>
      <c r="B325" s="432">
        <f>+Inflation!E337*100</f>
        <v>23.570190641247791</v>
      </c>
    </row>
    <row r="326" spans="1:2">
      <c r="A326" s="236" t="s">
        <v>969</v>
      </c>
      <c r="B326" s="432">
        <f>+Inflation!E338*100</f>
        <v>32.321116928446614</v>
      </c>
    </row>
    <row r="327" spans="1:2">
      <c r="A327" s="236" t="s">
        <v>970</v>
      </c>
      <c r="B327" s="432">
        <f>+Inflation!E339*100</f>
        <v>32.040180117769324</v>
      </c>
    </row>
    <row r="328" spans="1:2">
      <c r="A328" s="236" t="s">
        <v>971</v>
      </c>
      <c r="B328" s="432">
        <f>+Inflation!E340*100</f>
        <v>26.991441737985667</v>
      </c>
    </row>
    <row r="329" spans="1:2">
      <c r="A329" s="236" t="s">
        <v>972</v>
      </c>
      <c r="B329" s="432">
        <f>+Inflation!E341*100</f>
        <v>27.078687480089194</v>
      </c>
    </row>
    <row r="330" spans="1:2">
      <c r="A330" s="236" t="s">
        <v>973</v>
      </c>
      <c r="B330" s="432">
        <f>+Inflation!E342*100</f>
        <v>25.032216494845329</v>
      </c>
    </row>
    <row r="331" spans="1:2">
      <c r="A331" s="236" t="s">
        <v>974</v>
      </c>
      <c r="B331" s="432">
        <f>+Inflation!E343*100</f>
        <v>26.32253927540873</v>
      </c>
    </row>
    <row r="332" spans="1:2">
      <c r="A332" s="236" t="s">
        <v>975</v>
      </c>
      <c r="B332" s="432">
        <f>+Inflation!E344*100</f>
        <v>22.170252572497695</v>
      </c>
    </row>
    <row r="333" spans="1:2">
      <c r="A333" s="236" t="s">
        <v>976</v>
      </c>
      <c r="B333" s="432">
        <f>+Inflation!E345*100</f>
        <v>12.809538367471674</v>
      </c>
    </row>
    <row r="334" spans="1:2">
      <c r="A334" s="236" t="s">
        <v>977</v>
      </c>
      <c r="B334" s="432">
        <f>+Inflation!E346*100</f>
        <v>25.34562211981568</v>
      </c>
    </row>
    <row r="335" spans="1:2">
      <c r="A335" s="236" t="s">
        <v>978</v>
      </c>
      <c r="B335" s="432">
        <f>+Inflation!E347*100</f>
        <v>24.571428571428665</v>
      </c>
    </row>
    <row r="336" spans="1:2">
      <c r="A336" s="236" t="s">
        <v>979</v>
      </c>
      <c r="B336" s="432">
        <f>+Inflation!E348*100</f>
        <v>25.99299065420557</v>
      </c>
    </row>
    <row r="337" spans="1:2">
      <c r="A337" s="236" t="s">
        <v>980</v>
      </c>
      <c r="B337" s="432">
        <f>+Inflation!E349*100</f>
        <v>23.478260869565283</v>
      </c>
    </row>
    <row r="338" spans="1:2">
      <c r="A338" s="236" t="s">
        <v>981</v>
      </c>
      <c r="B338" s="432">
        <f>+Inflation!E350*100</f>
        <v>16.776576101292683</v>
      </c>
    </row>
    <row r="339" spans="1:2">
      <c r="A339" s="236" t="s">
        <v>982</v>
      </c>
      <c r="B339" s="432">
        <f>+Inflation!E351*100</f>
        <v>16.946484784889716</v>
      </c>
    </row>
    <row r="340" spans="1:2">
      <c r="A340" s="236" t="s">
        <v>983</v>
      </c>
      <c r="B340" s="432">
        <f>+Inflation!E352*100</f>
        <v>16.614826334888534</v>
      </c>
    </row>
    <row r="341" spans="1:2">
      <c r="A341" s="236" t="s">
        <v>984</v>
      </c>
      <c r="B341" s="432">
        <f>+Inflation!E353*100</f>
        <v>15.968914514915999</v>
      </c>
    </row>
    <row r="342" spans="1:2">
      <c r="A342" s="236" t="s">
        <v>985</v>
      </c>
      <c r="B342" s="432">
        <f>+Inflation!E354*100</f>
        <v>21.437773769647016</v>
      </c>
    </row>
    <row r="343" spans="1:2">
      <c r="A343" s="236" t="s">
        <v>986</v>
      </c>
      <c r="B343" s="432">
        <f>+Inflation!E355*100</f>
        <v>19.847715736040627</v>
      </c>
    </row>
    <row r="344" spans="1:2">
      <c r="A344" s="236" t="s">
        <v>987</v>
      </c>
      <c r="B344" s="432">
        <f>+Inflation!E356*100</f>
        <v>23.328228688106289</v>
      </c>
    </row>
    <row r="345" spans="1:2">
      <c r="A345" s="236" t="s">
        <v>988</v>
      </c>
      <c r="B345" s="432">
        <f>+Inflation!E357*100</f>
        <v>37.804878048780481</v>
      </c>
    </row>
    <row r="346" spans="1:2">
      <c r="A346" s="236" t="s">
        <v>989</v>
      </c>
      <c r="B346" s="432">
        <f>+Inflation!E358*100</f>
        <v>29.583333333333361</v>
      </c>
    </row>
    <row r="347" spans="1:2">
      <c r="A347" s="236" t="s">
        <v>990</v>
      </c>
      <c r="B347" s="432">
        <f>+Inflation!E359*100</f>
        <v>32.496378561081073</v>
      </c>
    </row>
    <row r="348" spans="1:2">
      <c r="A348" s="236" t="s">
        <v>991</v>
      </c>
      <c r="B348" s="432">
        <f>+Inflation!E360*100</f>
        <v>32.03523412146496</v>
      </c>
    </row>
    <row r="349" spans="1:2">
      <c r="A349" s="236" t="s">
        <v>992</v>
      </c>
      <c r="B349" s="432">
        <f>+Inflation!E361*100</f>
        <v>28.736937755565716</v>
      </c>
    </row>
    <row r="350" spans="1:2">
      <c r="A350" s="236" t="s">
        <v>993</v>
      </c>
      <c r="B350" s="432">
        <f>+Inflation!E362*100</f>
        <v>29.365258640162995</v>
      </c>
    </row>
    <row r="351" spans="1:2">
      <c r="A351" s="236" t="s">
        <v>994</v>
      </c>
      <c r="B351" s="432">
        <f>+Inflation!E363*100</f>
        <v>28.532974427994962</v>
      </c>
    </row>
    <row r="352" spans="1:2">
      <c r="A352" s="236" t="s">
        <v>995</v>
      </c>
      <c r="B352" s="432">
        <f>+Inflation!E364*100</f>
        <v>30.917981773727355</v>
      </c>
    </row>
    <row r="353" spans="1:2">
      <c r="A353" s="236" t="s">
        <v>996</v>
      </c>
      <c r="B353" s="432">
        <f>+Inflation!E365*100</f>
        <v>32.511889321227812</v>
      </c>
    </row>
    <row r="354" spans="1:2">
      <c r="A354" s="236" t="s">
        <v>997</v>
      </c>
      <c r="B354" s="432">
        <f>+Inflation!E366*100</f>
        <v>34.521536176532749</v>
      </c>
    </row>
    <row r="355" spans="1:2">
      <c r="A355" s="236" t="s">
        <v>998</v>
      </c>
      <c r="B355" s="432">
        <f>+Inflation!E367*100</f>
        <v>38.924184667513551</v>
      </c>
    </row>
    <row r="356" spans="1:2">
      <c r="A356" s="236" t="s">
        <v>999</v>
      </c>
      <c r="B356" s="432">
        <f>+Inflation!E368*100</f>
        <v>39.486754966886828</v>
      </c>
    </row>
    <row r="357" spans="1:2">
      <c r="A357" s="236" t="s">
        <v>1000</v>
      </c>
      <c r="B357" s="432">
        <f>+Inflation!E369*100</f>
        <v>36.873156342183336</v>
      </c>
    </row>
    <row r="358" spans="1:2">
      <c r="A358" s="236" t="s">
        <v>1001</v>
      </c>
      <c r="B358" s="432">
        <f>+Inflation!E370*100</f>
        <v>35.237374692642611</v>
      </c>
    </row>
    <row r="359" spans="1:2">
      <c r="A359" s="236" t="s">
        <v>1002</v>
      </c>
      <c r="B359" s="432">
        <f>+Inflation!E371*100</f>
        <v>34.839650145773369</v>
      </c>
    </row>
    <row r="360" spans="1:2">
      <c r="A360" s="236" t="s">
        <v>1003</v>
      </c>
      <c r="B360" s="432">
        <f>+Inflation!E372*100</f>
        <v>34.655898876405033</v>
      </c>
    </row>
    <row r="361" spans="1:2">
      <c r="A361" s="236" t="s">
        <v>1004</v>
      </c>
      <c r="B361" s="432">
        <f>+Inflation!E373*100</f>
        <v>41.874007411328648</v>
      </c>
    </row>
    <row r="362" spans="1:2">
      <c r="A362" s="236" t="s">
        <v>1005</v>
      </c>
      <c r="B362" s="432">
        <f>+Inflation!E374*100</f>
        <v>41.609917932599828</v>
      </c>
    </row>
    <row r="363" spans="1:2">
      <c r="A363" s="236" t="s">
        <v>1006</v>
      </c>
      <c r="B363" s="432">
        <f>+Inflation!E375*100</f>
        <v>43.106457242582287</v>
      </c>
    </row>
    <row r="364" spans="1:2">
      <c r="A364" s="236" t="s">
        <v>1007</v>
      </c>
      <c r="B364" s="432">
        <f>+Inflation!E376*100</f>
        <v>42.105263157895223</v>
      </c>
    </row>
    <row r="365" spans="1:2">
      <c r="A365" s="236" t="s">
        <v>1008</v>
      </c>
      <c r="B365" s="432">
        <f>+Inflation!E377*100</f>
        <v>39.151712887438997</v>
      </c>
    </row>
    <row r="366" spans="1:2">
      <c r="A366" s="236" t="s">
        <v>1009</v>
      </c>
      <c r="B366" s="432">
        <f>+Inflation!E378*100</f>
        <v>36.908517350157702</v>
      </c>
    </row>
    <row r="367" spans="1:2">
      <c r="A367" s="236" t="s">
        <v>1010</v>
      </c>
      <c r="B367" s="432">
        <f>+Inflation!E379*100</f>
        <v>31.859756097560911</v>
      </c>
    </row>
    <row r="368" spans="1:2">
      <c r="A368" s="236" t="s">
        <v>1011</v>
      </c>
      <c r="B368" s="432">
        <f>+Inflation!E380*100</f>
        <v>29.376854599406933</v>
      </c>
    </row>
    <row r="369" spans="1:2">
      <c r="A369" s="236" t="s">
        <v>1012</v>
      </c>
      <c r="B369" s="432">
        <f>+Inflation!E381*100</f>
        <v>25.287356321838583</v>
      </c>
    </row>
    <row r="370" spans="1:2">
      <c r="A370" s="236" t="s">
        <v>1013</v>
      </c>
      <c r="B370" s="432">
        <f>+Inflation!E382*100</f>
        <v>22.657342657342518</v>
      </c>
    </row>
    <row r="371" spans="1:2">
      <c r="A371" s="236" t="s">
        <v>1014</v>
      </c>
      <c r="B371" s="432">
        <f>+Inflation!E383*100</f>
        <v>20.540540540540086</v>
      </c>
    </row>
    <row r="372" spans="1:2">
      <c r="A372" s="236" t="s">
        <v>1015</v>
      </c>
      <c r="B372" s="432">
        <f>+Inflation!E384*100</f>
        <v>17.601043024771567</v>
      </c>
    </row>
    <row r="373" spans="1:2">
      <c r="A373" s="236" t="s">
        <v>1016</v>
      </c>
      <c r="B373" s="432">
        <f>+Inflation!E385*100</f>
        <v>13.432835820895249</v>
      </c>
    </row>
    <row r="374" spans="1:2">
      <c r="A374" s="236" t="s">
        <v>1017</v>
      </c>
      <c r="B374" s="432">
        <f>+Inflation!E386*100</f>
        <v>13.316892725030517</v>
      </c>
    </row>
    <row r="375" spans="1:2">
      <c r="A375" s="236" t="s">
        <v>1018</v>
      </c>
      <c r="B375" s="432">
        <f>+Inflation!E387*100</f>
        <v>11.829268292683025</v>
      </c>
    </row>
    <row r="376" spans="1:2">
      <c r="A376" s="236" t="s">
        <v>1019</v>
      </c>
      <c r="B376" s="432">
        <f>+Inflation!E388*100</f>
        <v>12.903225806451314</v>
      </c>
    </row>
    <row r="377" spans="1:2">
      <c r="A377" s="236" t="s">
        <v>1020</v>
      </c>
      <c r="B377" s="432">
        <f>+Inflation!E389*100</f>
        <v>13.599062133645878</v>
      </c>
    </row>
    <row r="378" spans="1:2">
      <c r="A378" s="236" t="s">
        <v>1021</v>
      </c>
      <c r="B378" s="432">
        <f>+Inflation!E390*100</f>
        <v>12.096774193548686</v>
      </c>
    </row>
    <row r="379" spans="1:2">
      <c r="A379" s="236" t="s">
        <v>1022</v>
      </c>
      <c r="B379" s="432">
        <f>+Inflation!E391*100</f>
        <v>12.716763005780752</v>
      </c>
    </row>
    <row r="380" spans="1:2">
      <c r="A380" s="236" t="s">
        <v>1023</v>
      </c>
      <c r="B380" s="432">
        <f>+Inflation!E392*100</f>
        <v>13.188073394495326</v>
      </c>
    </row>
    <row r="381" spans="1:2">
      <c r="A381" s="236" t="s">
        <v>1024</v>
      </c>
      <c r="B381" s="432">
        <f>+Inflation!E393*100</f>
        <v>14.793577981651641</v>
      </c>
    </row>
    <row r="382" spans="1:2">
      <c r="A382" s="236" t="s">
        <v>1025</v>
      </c>
      <c r="B382" s="432">
        <f>+Inflation!E394*100</f>
        <v>17.331812998859398</v>
      </c>
    </row>
    <row r="383" spans="1:2">
      <c r="A383" s="236" t="s">
        <v>1026</v>
      </c>
      <c r="B383" s="432">
        <f>+Inflation!E395*100</f>
        <v>16.704035874439672</v>
      </c>
    </row>
    <row r="384" spans="1:2">
      <c r="A384" s="236" t="s">
        <v>1027</v>
      </c>
      <c r="B384" s="432">
        <f>+Inflation!E396*100</f>
        <v>16.740576496673686</v>
      </c>
    </row>
    <row r="385" spans="1:2">
      <c r="A385" s="236" t="s">
        <v>1028</v>
      </c>
      <c r="B385" s="432">
        <f>+Inflation!E397*100</f>
        <v>16.118421052631749</v>
      </c>
    </row>
    <row r="386" spans="1:2">
      <c r="A386" s="236" t="s">
        <v>1029</v>
      </c>
      <c r="B386" s="432">
        <f>+Inflation!E398*100</f>
        <v>16.974972796517719</v>
      </c>
    </row>
    <row r="387" spans="1:2">
      <c r="A387" s="236" t="s">
        <v>1030</v>
      </c>
      <c r="B387" s="432">
        <f>+Inflation!E399*100</f>
        <v>17.775354416575738</v>
      </c>
    </row>
    <row r="388" spans="1:2">
      <c r="A388" s="236" t="s">
        <v>1031</v>
      </c>
      <c r="B388" s="432">
        <f>+Inflation!E400*100</f>
        <v>17.671957671957706</v>
      </c>
    </row>
    <row r="389" spans="1:2">
      <c r="A389" s="236" t="s">
        <v>1032</v>
      </c>
      <c r="B389" s="432">
        <f>+Inflation!E401*100</f>
        <v>17.543859649122908</v>
      </c>
    </row>
    <row r="390" spans="1:2">
      <c r="A390" s="236" t="s">
        <v>1033</v>
      </c>
      <c r="B390" s="432">
        <f>+Inflation!E402*100</f>
        <v>17.985611510791031</v>
      </c>
    </row>
    <row r="391" spans="1:2">
      <c r="A391" s="236" t="s">
        <v>1034</v>
      </c>
      <c r="B391" s="432">
        <f>+Inflation!E403*100</f>
        <v>19.589743589743613</v>
      </c>
    </row>
    <row r="392" spans="1:2">
      <c r="A392" s="236" t="s">
        <v>1035</v>
      </c>
      <c r="B392" s="432">
        <f>+Inflation!E404*100</f>
        <v>19.756838905775243</v>
      </c>
    </row>
    <row r="393" spans="1:2">
      <c r="A393" s="236" t="s">
        <v>1036</v>
      </c>
      <c r="B393" s="432">
        <f>+Inflation!E405*100</f>
        <v>18.581418581418486</v>
      </c>
    </row>
    <row r="394" spans="1:2">
      <c r="A394" s="236" t="s">
        <v>1037</v>
      </c>
      <c r="B394" s="432">
        <f>+Inflation!E406*100</f>
        <v>16.326530612244984</v>
      </c>
    </row>
    <row r="395" spans="1:2">
      <c r="A395" s="236" t="s">
        <v>1038</v>
      </c>
      <c r="B395" s="432">
        <f>+Inflation!E407*100</f>
        <v>16.426512968299821</v>
      </c>
    </row>
    <row r="396" spans="1:2">
      <c r="A396" s="236" t="s">
        <v>1039</v>
      </c>
      <c r="B396" s="432">
        <f>+Inflation!E408*100</f>
        <v>16.524216524216719</v>
      </c>
    </row>
    <row r="397" spans="1:2">
      <c r="A397" s="236" t="s">
        <v>1040</v>
      </c>
      <c r="B397" s="432">
        <f>+Inflation!E409*100</f>
        <v>18.791312559018159</v>
      </c>
    </row>
    <row r="398" spans="1:2">
      <c r="A398" s="236" t="s">
        <v>1041</v>
      </c>
      <c r="B398" s="432">
        <f>+Inflation!E410*100</f>
        <v>19.441860465116754</v>
      </c>
    </row>
    <row r="399" spans="1:2">
      <c r="A399" s="236" t="s">
        <v>1042</v>
      </c>
      <c r="B399" s="432">
        <f>+Inflation!E411*100</f>
        <v>20.370370370370551</v>
      </c>
    </row>
    <row r="400" spans="1:2">
      <c r="A400" s="236" t="s">
        <v>1043</v>
      </c>
      <c r="B400" s="432">
        <f>+Inflation!E412*100</f>
        <v>20.503597122301986</v>
      </c>
    </row>
    <row r="401" spans="1:2">
      <c r="A401" s="236" t="s">
        <v>1044</v>
      </c>
      <c r="B401" s="432">
        <f>+Inflation!E413*100</f>
        <v>21.071115013169518</v>
      </c>
    </row>
    <row r="402" spans="1:2">
      <c r="A402" s="236" t="s">
        <v>1045</v>
      </c>
      <c r="B402" s="432">
        <f>+Inflation!E414*100</f>
        <v>22.386759581881964</v>
      </c>
    </row>
    <row r="403" spans="1:2">
      <c r="A403" s="236" t="s">
        <v>1046</v>
      </c>
      <c r="B403" s="432">
        <f>+Inflation!E415*100</f>
        <v>21.869639794167959</v>
      </c>
    </row>
    <row r="404" spans="1:2">
      <c r="A404" s="236" t="s">
        <v>1047</v>
      </c>
      <c r="B404" s="432">
        <f>+Inflation!E416*100</f>
        <v>20.7275803722506</v>
      </c>
    </row>
    <row r="405" spans="1:2">
      <c r="A405" s="236" t="s">
        <v>1048</v>
      </c>
      <c r="B405" s="432">
        <f>+Inflation!E417*100</f>
        <v>20.89300758213961</v>
      </c>
    </row>
    <row r="406" spans="1:2">
      <c r="A406" s="236" t="s">
        <v>1049</v>
      </c>
      <c r="B406" s="432">
        <f>+Inflation!E418*100</f>
        <v>21.55388471177946</v>
      </c>
    </row>
    <row r="407" spans="1:2">
      <c r="A407" s="236" t="s">
        <v>1050</v>
      </c>
      <c r="B407" s="432">
        <f>+Inflation!E419*100</f>
        <v>21.947194719471597</v>
      </c>
    </row>
    <row r="408" spans="1:2">
      <c r="A408" s="236" t="s">
        <v>1051</v>
      </c>
      <c r="B408" s="432">
        <f>+Inflation!E420*100</f>
        <v>20.863895680521537</v>
      </c>
    </row>
    <row r="409" spans="1:2">
      <c r="A409" s="236" t="s">
        <v>1052</v>
      </c>
      <c r="B409" s="432">
        <f>+Inflation!E421*100</f>
        <v>18.998410174880796</v>
      </c>
    </row>
    <row r="410" spans="1:2">
      <c r="A410" s="236" t="s">
        <v>1053</v>
      </c>
      <c r="B410" s="432">
        <f>+Inflation!E422*100</f>
        <v>18.691588785046754</v>
      </c>
    </row>
    <row r="411" spans="1:2">
      <c r="A411" s="236" t="s">
        <v>1054</v>
      </c>
      <c r="B411" s="432">
        <f>+Inflation!E423*100</f>
        <v>18.307692307692335</v>
      </c>
    </row>
    <row r="412" spans="1:2">
      <c r="A412" s="236" t="s">
        <v>1055</v>
      </c>
      <c r="B412" s="432">
        <f>+Inflation!E424*100</f>
        <v>16.865671641791291</v>
      </c>
    </row>
    <row r="413" spans="1:2">
      <c r="A413" s="236" t="s">
        <v>1056</v>
      </c>
      <c r="B413" s="432">
        <f>+Inflation!E425*100</f>
        <v>14.575779550398615</v>
      </c>
    </row>
    <row r="414" spans="1:2">
      <c r="A414" s="236" t="s">
        <v>1057</v>
      </c>
      <c r="B414" s="432">
        <f>+Inflation!E426*100</f>
        <v>14.306049822063848</v>
      </c>
    </row>
    <row r="415" spans="1:2">
      <c r="A415" s="236" t="s">
        <v>1058</v>
      </c>
      <c r="B415" s="432">
        <f>+Inflation!E427*100</f>
        <v>13.933849401829823</v>
      </c>
    </row>
    <row r="416" spans="1:2">
      <c r="A416" s="236" t="s">
        <v>1059</v>
      </c>
      <c r="B416" s="432">
        <f>+Inflation!E428*100</f>
        <v>14.295725297827456</v>
      </c>
    </row>
    <row r="417" spans="1:2">
      <c r="A417" s="236" t="s">
        <v>1060</v>
      </c>
      <c r="B417" s="432">
        <f>+Inflation!E429*100</f>
        <v>14.91289198606276</v>
      </c>
    </row>
    <row r="418" spans="1:2">
      <c r="A418" s="236" t="s">
        <v>1061</v>
      </c>
      <c r="B418" s="432">
        <f>+Inflation!E430*100</f>
        <v>14.501718213058412</v>
      </c>
    </row>
    <row r="419" spans="1:2">
      <c r="A419" s="236" t="s">
        <v>1062</v>
      </c>
      <c r="B419" s="432">
        <f>+Inflation!E431*100</f>
        <v>12.449255751015187</v>
      </c>
    </row>
    <row r="420" spans="1:2">
      <c r="A420" s="236" t="s">
        <v>1063</v>
      </c>
      <c r="B420" s="432">
        <f>+Inflation!E432*100</f>
        <v>12.272420768712333</v>
      </c>
    </row>
    <row r="421" spans="1:2">
      <c r="A421" s="236" t="s">
        <v>1064</v>
      </c>
      <c r="B421" s="432">
        <f>+Inflation!E433*100</f>
        <v>12.157648630594409</v>
      </c>
    </row>
    <row r="422" spans="1:2">
      <c r="A422" s="236" t="s">
        <v>1065</v>
      </c>
      <c r="B422" s="432">
        <f>+Inflation!E434*100</f>
        <v>10.629921259842456</v>
      </c>
    </row>
    <row r="423" spans="1:2">
      <c r="A423" s="236" t="s">
        <v>1066</v>
      </c>
      <c r="B423" s="432">
        <f>+Inflation!E435*100</f>
        <v>10.533159947984338</v>
      </c>
    </row>
    <row r="424" spans="1:2">
      <c r="A424" s="236" t="s">
        <v>1067</v>
      </c>
      <c r="B424" s="432">
        <f>+Inflation!E436*100</f>
        <v>10.280970625798158</v>
      </c>
    </row>
    <row r="425" spans="1:2">
      <c r="A425" s="236" t="s">
        <v>1068</v>
      </c>
      <c r="B425" s="432">
        <f>+Inflation!E437*100</f>
        <v>11.202531645569792</v>
      </c>
    </row>
    <row r="426" spans="1:2">
      <c r="A426" s="236" t="s">
        <v>1069</v>
      </c>
      <c r="B426" s="432">
        <f>+Inflation!E438*100</f>
        <v>11.083437110834215</v>
      </c>
    </row>
    <row r="427" spans="1:2">
      <c r="A427" s="236" t="s">
        <v>1070</v>
      </c>
      <c r="B427" s="432">
        <f>+Inflation!E439*100</f>
        <v>10.870907967881195</v>
      </c>
    </row>
    <row r="428" spans="1:2">
      <c r="A428" s="236" t="s">
        <v>1071</v>
      </c>
      <c r="B428" s="432">
        <f>+Inflation!E440*100</f>
        <v>10.484365419987807</v>
      </c>
    </row>
    <row r="429" spans="1:2">
      <c r="A429" s="236" t="s">
        <v>1072</v>
      </c>
      <c r="B429" s="432">
        <f>+Inflation!E441*100</f>
        <v>9.6422073984232082</v>
      </c>
    </row>
    <row r="430" spans="1:2">
      <c r="A430" s="236" t="s">
        <v>1073</v>
      </c>
      <c r="B430" s="432">
        <f>+Inflation!E442*100</f>
        <v>8.9435774309724927</v>
      </c>
    </row>
    <row r="431" spans="1:2">
      <c r="A431" s="236" t="s">
        <v>1074</v>
      </c>
      <c r="B431" s="432">
        <f>+Inflation!E443*100</f>
        <v>9.6871239470516901</v>
      </c>
    </row>
    <row r="432" spans="1:2">
      <c r="A432" s="236" t="s">
        <v>1075</v>
      </c>
      <c r="B432" s="432">
        <f>+Inflation!E444*100</f>
        <v>9.7897897897897259</v>
      </c>
    </row>
    <row r="433" spans="1:2">
      <c r="A433" s="236" t="s">
        <v>1076</v>
      </c>
      <c r="B433" s="432">
        <f>+Inflation!E445*100</f>
        <v>8.8743299583086142</v>
      </c>
    </row>
    <row r="434" spans="1:2">
      <c r="A434" s="236" t="s">
        <v>1077</v>
      </c>
      <c r="B434" s="432">
        <f>+Inflation!E446*100</f>
        <v>8.7781731909843508</v>
      </c>
    </row>
    <row r="435" spans="1:2">
      <c r="A435" s="236" t="s">
        <v>1078</v>
      </c>
      <c r="B435" s="432">
        <f>+Inflation!E447*100</f>
        <v>8.1764705882352509</v>
      </c>
    </row>
    <row r="436" spans="1:2">
      <c r="A436" s="236" t="s">
        <v>1079</v>
      </c>
      <c r="B436" s="432">
        <f>+Inflation!E448*100</f>
        <v>7.4116965836712234</v>
      </c>
    </row>
    <row r="437" spans="1:2">
      <c r="A437" s="236" t="s">
        <v>1080</v>
      </c>
      <c r="B437" s="432">
        <f>+Inflation!E449*100</f>
        <v>7.5697211155377309</v>
      </c>
    </row>
    <row r="438" spans="1:2">
      <c r="A438" s="236" t="s">
        <v>1081</v>
      </c>
      <c r="B438" s="432">
        <f>+Inflation!E450*100</f>
        <v>8.5762331838566741</v>
      </c>
    </row>
    <row r="439" spans="1:2">
      <c r="A439" s="236" t="s">
        <v>1082</v>
      </c>
      <c r="B439" s="432">
        <f>+Inflation!E451*100</f>
        <v>8.1337047353761136</v>
      </c>
    </row>
    <row r="440" spans="1:2">
      <c r="A440" s="236" t="s">
        <v>1083</v>
      </c>
      <c r="B440" s="432">
        <f>+Inflation!E452*100</f>
        <v>7.3806881243062117</v>
      </c>
    </row>
    <row r="441" spans="1:2">
      <c r="A441" s="236" t="s">
        <v>1084</v>
      </c>
      <c r="B441" s="432">
        <f>+Inflation!E453*100</f>
        <v>7.8539823008849652</v>
      </c>
    </row>
    <row r="442" spans="1:2">
      <c r="A442" s="236" t="s">
        <v>1085</v>
      </c>
      <c r="B442" s="432">
        <f>+Inflation!E454*100</f>
        <v>6.9421487603306797</v>
      </c>
    </row>
    <row r="443" spans="1:2">
      <c r="A443" s="236" t="s">
        <v>1086</v>
      </c>
      <c r="B443" s="432">
        <f>+Inflation!E455*100</f>
        <v>6.2534284147009789</v>
      </c>
    </row>
    <row r="444" spans="1:2">
      <c r="A444" s="236" t="s">
        <v>1087</v>
      </c>
      <c r="B444" s="432">
        <f>+Inflation!E456*100</f>
        <v>5.8533916849013989</v>
      </c>
    </row>
    <row r="445" spans="1:2">
      <c r="A445" s="236" t="s">
        <v>1088</v>
      </c>
      <c r="B445" s="432">
        <f>+Inflation!E457*100</f>
        <v>5.7986870897153819</v>
      </c>
    </row>
    <row r="446" spans="1:2">
      <c r="A446" s="236" t="s">
        <v>1089</v>
      </c>
      <c r="B446" s="432">
        <f>+Inflation!E458*100</f>
        <v>5.5616139585606073</v>
      </c>
    </row>
    <row r="447" spans="1:2">
      <c r="A447" s="236" t="s">
        <v>1090</v>
      </c>
      <c r="B447" s="432">
        <f>+Inflation!E459*100</f>
        <v>6.1990212071777684</v>
      </c>
    </row>
    <row r="448" spans="1:2">
      <c r="A448" s="236" t="s">
        <v>1091</v>
      </c>
      <c r="B448" s="432">
        <f>+Inflation!E460*100</f>
        <v>6.7924528301884779</v>
      </c>
    </row>
    <row r="449" spans="1:2">
      <c r="A449" s="236" t="s">
        <v>1092</v>
      </c>
      <c r="B449" s="432">
        <f>+Inflation!E461*100</f>
        <v>6.9841269841268705</v>
      </c>
    </row>
    <row r="450" spans="1:2">
      <c r="A450" s="236" t="s">
        <v>1093</v>
      </c>
      <c r="B450" s="432">
        <f>+Inflation!E462*100</f>
        <v>6.6081569437275167</v>
      </c>
    </row>
    <row r="451" spans="1:2">
      <c r="A451" s="236" t="s">
        <v>1094</v>
      </c>
      <c r="B451" s="432">
        <f>+Inflation!E463*100</f>
        <v>8.4492529623904957</v>
      </c>
    </row>
    <row r="452" spans="1:2">
      <c r="A452" s="236" t="s">
        <v>1095</v>
      </c>
      <c r="B452" s="432">
        <f>+Inflation!E464*100</f>
        <v>11.679586563307653</v>
      </c>
    </row>
    <row r="453" spans="1:2">
      <c r="A453" s="236" t="s">
        <v>1096</v>
      </c>
      <c r="B453" s="432">
        <f>+Inflation!E465*100</f>
        <v>10.820512820513105</v>
      </c>
    </row>
    <row r="454" spans="1:2">
      <c r="A454" s="236" t="s">
        <v>1097</v>
      </c>
      <c r="B454" s="432">
        <f>+Inflation!E466*100</f>
        <v>11.798042246264707</v>
      </c>
    </row>
    <row r="455" spans="1:2">
      <c r="A455" s="236" t="s">
        <v>1098</v>
      </c>
      <c r="B455" s="432">
        <f>+Inflation!E467*100</f>
        <v>13.577697470314941</v>
      </c>
    </row>
    <row r="456" spans="1:2">
      <c r="A456" s="236" t="s">
        <v>1099</v>
      </c>
      <c r="B456" s="432">
        <f>+Inflation!E468*100</f>
        <v>14.987080103359251</v>
      </c>
    </row>
    <row r="457" spans="1:2">
      <c r="A457" s="236" t="s">
        <v>1100</v>
      </c>
      <c r="B457" s="432">
        <f>+Inflation!E469*100</f>
        <v>16.028955532575019</v>
      </c>
    </row>
    <row r="458" spans="1:2">
      <c r="A458" s="236" t="s">
        <v>1101</v>
      </c>
      <c r="B458" s="432">
        <f>+Inflation!E470*100</f>
        <v>15.960743801652931</v>
      </c>
    </row>
    <row r="459" spans="1:2">
      <c r="A459" s="236" t="s">
        <v>1102</v>
      </c>
      <c r="B459" s="432">
        <f>+Inflation!E471*100</f>
        <v>14.644137224782439</v>
      </c>
    </row>
    <row r="460" spans="1:2">
      <c r="A460" s="236" t="s">
        <v>1103</v>
      </c>
      <c r="B460" s="432">
        <f>+Inflation!E472*100</f>
        <v>13.377082281675978</v>
      </c>
    </row>
    <row r="461" spans="1:2">
      <c r="A461" s="236" t="s">
        <v>1104</v>
      </c>
      <c r="B461" s="432">
        <f>+Inflation!E473*100</f>
        <v>11.473788328387968</v>
      </c>
    </row>
    <row r="462" spans="1:2">
      <c r="A462" s="236" t="s">
        <v>1105</v>
      </c>
      <c r="B462" s="432">
        <f>+Inflation!E474*100</f>
        <v>9.3462469733653908</v>
      </c>
    </row>
    <row r="463" spans="1:2">
      <c r="A463" s="236" t="s">
        <v>1106</v>
      </c>
      <c r="B463" s="432">
        <f>+Inflation!E475*100</f>
        <v>7.6484560570070803</v>
      </c>
    </row>
    <row r="464" spans="1:2">
      <c r="A464" s="236" t="s">
        <v>1107</v>
      </c>
      <c r="B464" s="432">
        <f>+Inflation!E476*100</f>
        <v>4.3961129106892427</v>
      </c>
    </row>
    <row r="465" spans="1:2">
      <c r="A465" s="236" t="s">
        <v>1108</v>
      </c>
      <c r="B465" s="432">
        <f>+Inflation!E477*100</f>
        <v>4.4423877834333547</v>
      </c>
    </row>
    <row r="466" spans="1:2">
      <c r="A466" s="236" t="s">
        <v>1109</v>
      </c>
      <c r="B466" s="432">
        <f>+Inflation!E478*100</f>
        <v>6.6820276497696174</v>
      </c>
    </row>
    <row r="467" spans="1:2">
      <c r="A467" s="236" t="s">
        <v>1110</v>
      </c>
      <c r="B467" s="432">
        <f>+Inflation!E479*100</f>
        <v>5.9090909090907973</v>
      </c>
    </row>
    <row r="468" spans="1:2">
      <c r="A468" s="236" t="s">
        <v>1111</v>
      </c>
      <c r="B468" s="432">
        <f>+Inflation!E480*100</f>
        <v>4.6741573033706407</v>
      </c>
    </row>
    <row r="469" spans="1:2">
      <c r="A469" s="236" t="s">
        <v>1112</v>
      </c>
      <c r="B469" s="432">
        <f>+Inflation!E481*100</f>
        <v>4.3226381461675789</v>
      </c>
    </row>
    <row r="470" spans="1:2">
      <c r="A470" s="236" t="s">
        <v>1113</v>
      </c>
      <c r="B470" s="432">
        <f>+Inflation!E482*100</f>
        <v>4.6325167037862824</v>
      </c>
    </row>
    <row r="471" spans="1:2">
      <c r="A471" s="236" t="s">
        <v>1114</v>
      </c>
      <c r="B471" s="432">
        <f>+Inflation!E483*100</f>
        <v>5.4041983028137786</v>
      </c>
    </row>
    <row r="472" spans="1:2">
      <c r="A472" s="236" t="s">
        <v>1115</v>
      </c>
      <c r="B472" s="432">
        <f>+Inflation!E484*100</f>
        <v>6.4113980409617355</v>
      </c>
    </row>
    <row r="473" spans="1:2">
      <c r="A473" s="236" t="s">
        <v>1116</v>
      </c>
      <c r="B473" s="432">
        <f>+Inflation!E485*100</f>
        <v>7.5421472936998857</v>
      </c>
    </row>
    <row r="474" spans="1:2">
      <c r="A474" s="236" t="s">
        <v>1117</v>
      </c>
      <c r="B474" s="432">
        <f>+Inflation!E486*100</f>
        <v>9.5659875996457302</v>
      </c>
    </row>
    <row r="475" spans="1:2">
      <c r="A475" s="236" t="s">
        <v>1118</v>
      </c>
      <c r="B475" s="432">
        <f>+Inflation!E487*100</f>
        <v>10.105913503971674</v>
      </c>
    </row>
    <row r="476" spans="1:2">
      <c r="A476" s="236" t="s">
        <v>1119</v>
      </c>
      <c r="B476" s="432">
        <f>+Inflation!E488*100</f>
        <v>11.037234042553322</v>
      </c>
    </row>
    <row r="477" spans="1:2">
      <c r="A477" s="236" t="s">
        <v>1120</v>
      </c>
      <c r="B477" s="432">
        <f>+Inflation!E489*100</f>
        <v>10.323438192290869</v>
      </c>
    </row>
    <row r="478" spans="1:2">
      <c r="A478" s="236" t="s">
        <v>1121</v>
      </c>
      <c r="B478" s="432">
        <f>+Inflation!E490*100</f>
        <v>7.8185745140388008</v>
      </c>
    </row>
    <row r="479" spans="1:2">
      <c r="A479" s="236" t="s">
        <v>1122</v>
      </c>
      <c r="B479" s="432">
        <f>+Inflation!E491*100</f>
        <v>7.8111587982834241</v>
      </c>
    </row>
    <row r="480" spans="1:2">
      <c r="A480" s="236" t="s">
        <v>1123</v>
      </c>
      <c r="B480" s="432">
        <f>+Inflation!E492*100</f>
        <v>9.4461142121082808</v>
      </c>
    </row>
    <row r="481" spans="1:2">
      <c r="A481" s="236" t="s">
        <v>1124</v>
      </c>
      <c r="B481" s="432">
        <f>+Inflation!E493*100</f>
        <v>9.5258436565568871</v>
      </c>
    </row>
    <row r="482" spans="1:2">
      <c r="A482" s="236" t="s">
        <v>1125</v>
      </c>
      <c r="B482" s="432">
        <f>+Inflation!E494*100</f>
        <v>9.5785440613025621</v>
      </c>
    </row>
    <row r="483" spans="1:2">
      <c r="A483" s="236" t="s">
        <v>1126</v>
      </c>
      <c r="B483" s="432">
        <f>+Inflation!E495*100</f>
        <v>8.6440677966100878</v>
      </c>
    </row>
    <row r="484" spans="1:2">
      <c r="A484" s="236" t="s">
        <v>1127</v>
      </c>
      <c r="B484" s="432">
        <f>+Inflation!E496*100</f>
        <v>8.8702928870292741</v>
      </c>
    </row>
    <row r="485" spans="1:2">
      <c r="A485" s="236" t="s">
        <v>1128</v>
      </c>
      <c r="B485" s="432">
        <f>+Inflation!E497*100</f>
        <v>8.0445544554456063</v>
      </c>
    </row>
    <row r="486" spans="1:2">
      <c r="A486" s="236" t="s">
        <v>1129</v>
      </c>
      <c r="B486" s="432">
        <f>+Inflation!E498*100</f>
        <v>7.8011317704123284</v>
      </c>
    </row>
    <row r="487" spans="1:2">
      <c r="A487" s="236" t="s">
        <v>1130</v>
      </c>
      <c r="B487" s="432">
        <f>+Inflation!E499*100</f>
        <v>7.8156312625251134</v>
      </c>
    </row>
    <row r="488" spans="1:2">
      <c r="A488" s="236" t="s">
        <v>1131</v>
      </c>
      <c r="B488" s="432">
        <f>+Inflation!E500*100</f>
        <v>6.6666666666666874</v>
      </c>
    </row>
    <row r="489" spans="1:2">
      <c r="A489" s="236" t="s">
        <v>1132</v>
      </c>
      <c r="B489" s="432">
        <f>+Inflation!E501*100</f>
        <v>6.6666666666666652</v>
      </c>
    </row>
    <row r="490" spans="1:2">
      <c r="A490" s="236" t="s">
        <v>1133</v>
      </c>
      <c r="B490" s="432">
        <f>+Inflation!E502*100</f>
        <v>6.8509615384615863</v>
      </c>
    </row>
    <row r="491" spans="1:2">
      <c r="A491" s="236" t="s">
        <v>1134</v>
      </c>
      <c r="B491" s="432">
        <f>+Inflation!E503*100</f>
        <v>7.2054140127387756</v>
      </c>
    </row>
    <row r="492" spans="1:2">
      <c r="A492" s="236" t="s">
        <v>1135</v>
      </c>
      <c r="B492" s="432">
        <f>+Inflation!E504*100</f>
        <v>6.3946645743428565</v>
      </c>
    </row>
    <row r="493" spans="1:2">
      <c r="A493" s="236" t="s">
        <v>1136</v>
      </c>
      <c r="B493" s="432">
        <f>+Inflation!E505*100</f>
        <v>6.2402496099845717</v>
      </c>
    </row>
    <row r="494" spans="1:2">
      <c r="A494" s="236" t="s">
        <v>1137</v>
      </c>
      <c r="B494" s="432">
        <f>+Inflation!E506*100</f>
        <v>6.4102564102564097</v>
      </c>
    </row>
    <row r="495" spans="1:2">
      <c r="A495" s="236" t="s">
        <v>1138</v>
      </c>
      <c r="B495" s="432">
        <f>+Inflation!E507*100</f>
        <v>8.3853354134165734</v>
      </c>
    </row>
    <row r="496" spans="1:2">
      <c r="A496" s="236" t="s">
        <v>1139</v>
      </c>
      <c r="B496" s="432">
        <f>+Inflation!E508*100</f>
        <v>7.7726491277567256</v>
      </c>
    </row>
    <row r="497" spans="1:2">
      <c r="A497" s="236" t="s">
        <v>1140</v>
      </c>
      <c r="B497" s="432">
        <f>+Inflation!E509*100</f>
        <v>7.0730939405968307</v>
      </c>
    </row>
    <row r="498" spans="1:2">
      <c r="A498" s="236" t="s">
        <v>1141</v>
      </c>
      <c r="B498" s="432">
        <f>+Inflation!E510*100</f>
        <v>6.5526548414952757</v>
      </c>
    </row>
    <row r="499" spans="1:2">
      <c r="A499" s="236" t="s">
        <v>1142</v>
      </c>
      <c r="B499" s="432">
        <f>+Inflation!E511*100</f>
        <v>6.1645881037954542</v>
      </c>
    </row>
    <row r="500" spans="1:2">
      <c r="A500" s="236" t="s">
        <v>1143</v>
      </c>
      <c r="B500" s="432">
        <f>+Inflation!E512*100</f>
        <v>6.7042682710437118</v>
      </c>
    </row>
    <row r="501" spans="1:2">
      <c r="A501" s="236" t="s">
        <v>1144</v>
      </c>
      <c r="B501" s="432">
        <f>+Inflation!E513*100</f>
        <v>9.4657571415650121</v>
      </c>
    </row>
    <row r="502" spans="1:2">
      <c r="A502" s="236" t="s">
        <v>1145</v>
      </c>
      <c r="B502" s="432">
        <f>+Inflation!E514*100</f>
        <v>11.82753874453959</v>
      </c>
    </row>
    <row r="503" spans="1:2">
      <c r="A503" s="236" t="s">
        <v>1146</v>
      </c>
      <c r="B503" s="432">
        <f>+Inflation!E515*100</f>
        <v>13.359860199181917</v>
      </c>
    </row>
    <row r="504" spans="1:2">
      <c r="A504" s="236" t="s">
        <v>1147</v>
      </c>
      <c r="B504" s="432">
        <f>+Inflation!E516*100</f>
        <v>13.776055962117105</v>
      </c>
    </row>
    <row r="505" spans="1:2">
      <c r="A505" s="236" t="s">
        <v>1148</v>
      </c>
      <c r="B505" s="432">
        <f>+Inflation!E517*100</f>
        <v>13.791290494200847</v>
      </c>
    </row>
    <row r="506" spans="1:2">
      <c r="A506" s="236" t="s">
        <v>1149</v>
      </c>
      <c r="B506" s="432">
        <f>+Inflation!E518*100</f>
        <v>14.537777560441079</v>
      </c>
    </row>
    <row r="507" spans="1:2">
      <c r="A507" s="236" t="s">
        <v>1150</v>
      </c>
      <c r="B507" s="432">
        <f>+Inflation!E519*100</f>
        <v>14.576590330282379</v>
      </c>
    </row>
    <row r="508" spans="1:2">
      <c r="A508" s="236" t="s">
        <v>1151</v>
      </c>
      <c r="B508" s="432">
        <f>+Inflation!E520*100</f>
        <v>18.060200668896197</v>
      </c>
    </row>
    <row r="509" spans="1:2">
      <c r="A509" s="236" t="s">
        <v>1152</v>
      </c>
      <c r="B509" s="432">
        <f>+Inflation!E521*100</f>
        <v>20.234113712374423</v>
      </c>
    </row>
    <row r="510" spans="1:2">
      <c r="A510" s="236" t="s">
        <v>1153</v>
      </c>
      <c r="B510" s="432">
        <f>+Inflation!E522*100</f>
        <v>20.132013201320255</v>
      </c>
    </row>
    <row r="511" spans="1:2">
      <c r="A511" s="236" t="s">
        <v>1154</v>
      </c>
      <c r="B511" s="432">
        <f>+Inflation!E523*100</f>
        <v>20.853858784893298</v>
      </c>
    </row>
    <row r="512" spans="1:2">
      <c r="A512" s="236" t="s">
        <v>1155</v>
      </c>
      <c r="B512" s="432">
        <f>+Inflation!E524*100</f>
        <v>19.736842105263364</v>
      </c>
    </row>
    <row r="513" spans="1:2">
      <c r="A513" s="236" t="s">
        <v>1156</v>
      </c>
      <c r="B513" s="432">
        <f>+Inflation!E525*100</f>
        <v>15.645161290322584</v>
      </c>
    </row>
    <row r="514" spans="1:2">
      <c r="A514" s="236" t="s">
        <v>1157</v>
      </c>
      <c r="B514" s="432">
        <f>+Inflation!E526*100</f>
        <v>11.94968553459117</v>
      </c>
    </row>
    <row r="515" spans="1:2">
      <c r="A515" s="236" t="s">
        <v>1158</v>
      </c>
      <c r="B515" s="432">
        <f>+Inflation!E527*100</f>
        <v>9.2165898617511353</v>
      </c>
    </row>
    <row r="516" spans="1:2">
      <c r="A516" s="236" t="s">
        <v>1159</v>
      </c>
      <c r="B516" s="432">
        <f>+Inflation!E528*100</f>
        <v>8.2066869300910348</v>
      </c>
    </row>
    <row r="517" spans="1:2">
      <c r="A517" s="236" t="s">
        <v>1160</v>
      </c>
      <c r="B517" s="432">
        <f>+Inflation!E529*100</f>
        <v>9.8335854765505779</v>
      </c>
    </row>
    <row r="518" spans="1:2">
      <c r="A518" s="236" t="s">
        <v>1161</v>
      </c>
      <c r="B518" s="432">
        <f>+Inflation!E530*100</f>
        <v>10.014947683109131</v>
      </c>
    </row>
    <row r="519" spans="1:2">
      <c r="A519" s="236" t="s">
        <v>1162</v>
      </c>
      <c r="B519" s="432">
        <f>+Inflation!E531*100</f>
        <v>9.4256259204713153</v>
      </c>
    </row>
    <row r="520" spans="1:2">
      <c r="A520" s="236" t="s">
        <v>1163</v>
      </c>
      <c r="B520" s="432">
        <f>+Inflation!E532*100</f>
        <v>5.5240793201132732</v>
      </c>
    </row>
    <row r="521" spans="1:2">
      <c r="A521" s="236" t="s">
        <v>1164</v>
      </c>
      <c r="B521" s="432">
        <f>+Inflation!E533*100</f>
        <v>3.7552155771905626</v>
      </c>
    </row>
    <row r="522" spans="1:2">
      <c r="A522" s="236" t="s">
        <v>1165</v>
      </c>
      <c r="B522" s="432">
        <f>+Inflation!E534*100</f>
        <v>3.0219780219779668</v>
      </c>
    </row>
    <row r="523" spans="1:2">
      <c r="A523" s="236" t="s">
        <v>1166</v>
      </c>
      <c r="B523" s="432">
        <f>+Inflation!E535*100</f>
        <v>1.6304347826086474</v>
      </c>
    </row>
    <row r="524" spans="1:2">
      <c r="A524" s="236" t="s">
        <v>1167</v>
      </c>
      <c r="B524" s="432">
        <f>+Inflation!E536*100</f>
        <v>3.0219780219779668</v>
      </c>
    </row>
    <row r="525" spans="1:2">
      <c r="A525" s="236" t="s">
        <v>1168</v>
      </c>
      <c r="B525" s="432">
        <f>+Inflation!E537*100</f>
        <v>5.5788005578800481</v>
      </c>
    </row>
    <row r="526" spans="1:2">
      <c r="A526" s="236" t="s">
        <v>1169</v>
      </c>
      <c r="B526" s="432">
        <f>+Inflation!E538*100</f>
        <v>6.4606741573033366</v>
      </c>
    </row>
    <row r="527" spans="1:2">
      <c r="A527" s="236" t="s">
        <v>1170</v>
      </c>
      <c r="B527" s="432">
        <f>+Inflation!E539*100</f>
        <v>8.1575246132207226</v>
      </c>
    </row>
    <row r="528" spans="1:2">
      <c r="A528" s="236" t="s">
        <v>1171</v>
      </c>
      <c r="B528" s="432">
        <f>+Inflation!E540*100</f>
        <v>6.6011235955056202</v>
      </c>
    </row>
    <row r="529" spans="1:2">
      <c r="A529" s="236" t="s">
        <v>1172</v>
      </c>
      <c r="B529" s="432">
        <f>+Inflation!E541*100</f>
        <v>3.5812672176308347</v>
      </c>
    </row>
    <row r="530" spans="1:2">
      <c r="A530" s="236" t="s">
        <v>1173</v>
      </c>
      <c r="B530" s="432">
        <f>+Inflation!E542*100</f>
        <v>2.0380434782609536</v>
      </c>
    </row>
    <row r="531" spans="1:2">
      <c r="A531" s="236" t="s">
        <v>1174</v>
      </c>
      <c r="B531" s="432">
        <f>+Inflation!E543*100</f>
        <v>2.8263795423957516</v>
      </c>
    </row>
    <row r="532" spans="1:2">
      <c r="A532" s="236" t="s">
        <v>1175</v>
      </c>
      <c r="B532" s="432">
        <f>+Inflation!E544*100</f>
        <v>3.2214765100671672</v>
      </c>
    </row>
    <row r="533" spans="1:2">
      <c r="A533" s="236" t="s">
        <v>1176</v>
      </c>
      <c r="B533" s="432">
        <f>+Inflation!E545*100</f>
        <v>3.6193029490616757</v>
      </c>
    </row>
    <row r="534" spans="1:2">
      <c r="A534" s="236" t="s">
        <v>1177</v>
      </c>
      <c r="B534" s="432">
        <f>+Inflation!E546*100</f>
        <v>4.2666666666665964</v>
      </c>
    </row>
    <row r="535" spans="1:2">
      <c r="A535" s="236" t="s">
        <v>1178</v>
      </c>
      <c r="B535" s="432">
        <f>+Inflation!E547*100</f>
        <v>5.8823529411764941</v>
      </c>
    </row>
    <row r="536" spans="1:2">
      <c r="A536" s="236" t="s">
        <v>1179</v>
      </c>
      <c r="B536" s="432">
        <f>+Inflation!E548*100</f>
        <v>7.2000000000000286</v>
      </c>
    </row>
    <row r="537" spans="1:2">
      <c r="A537" s="236" t="s">
        <v>1180</v>
      </c>
      <c r="B537" s="432">
        <f>+Inflation!E549*100</f>
        <v>6.0766182298546578</v>
      </c>
    </row>
    <row r="538" spans="1:2">
      <c r="A538" s="236" t="s">
        <v>1181</v>
      </c>
      <c r="B538" s="432">
        <f>+Inflation!E550*100</f>
        <v>6.4643799472296593</v>
      </c>
    </row>
    <row r="539" spans="1:2">
      <c r="A539" s="236" t="s">
        <v>1182</v>
      </c>
      <c r="B539" s="432">
        <f>+Inflation!E551*100</f>
        <v>4.8114434330299272</v>
      </c>
    </row>
    <row r="540" spans="1:2">
      <c r="A540" s="236" t="s">
        <v>1183</v>
      </c>
      <c r="B540" s="432">
        <f>+Inflation!E552*100</f>
        <v>7.5098814229249244</v>
      </c>
    </row>
    <row r="541" spans="1:2">
      <c r="A541" s="236" t="s">
        <v>1184</v>
      </c>
      <c r="B541" s="432">
        <f>+Inflation!E553*100</f>
        <v>10.372340425531966</v>
      </c>
    </row>
    <row r="542" spans="1:2">
      <c r="A542" s="236" t="s">
        <v>1185</v>
      </c>
      <c r="B542" s="432">
        <f>+Inflation!E554*100</f>
        <v>12.383488681757626</v>
      </c>
    </row>
    <row r="543" spans="1:2">
      <c r="A543" s="236" t="s">
        <v>1186</v>
      </c>
      <c r="B543" s="432">
        <f>+Inflation!E555*100</f>
        <v>9.8167539267014945</v>
      </c>
    </row>
    <row r="544" spans="1:2">
      <c r="A544" s="236" t="s">
        <v>1187</v>
      </c>
      <c r="B544" s="432">
        <f>+Inflation!E556*100</f>
        <v>10.663198959687993</v>
      </c>
    </row>
    <row r="545" spans="1:2">
      <c r="A545" s="236" t="s">
        <v>1188</v>
      </c>
      <c r="B545" s="432">
        <f>+Inflation!E557*100</f>
        <v>11.254851228978024</v>
      </c>
    </row>
    <row r="546" spans="1:2">
      <c r="A546" s="236" t="s">
        <v>1189</v>
      </c>
      <c r="B546" s="432">
        <f>+Inflation!E558*100</f>
        <v>11.636828644501328</v>
      </c>
    </row>
    <row r="547" spans="1:2">
      <c r="A547" s="236" t="s">
        <v>1190</v>
      </c>
      <c r="B547" s="432">
        <f>+Inflation!E559*100</f>
        <v>10.732323232323338</v>
      </c>
    </row>
    <row r="548" spans="1:2">
      <c r="A548" s="236" t="s">
        <v>1191</v>
      </c>
      <c r="B548" s="432">
        <f>+Inflation!E560*100</f>
        <v>8.7064676616915406</v>
      </c>
    </row>
    <row r="549" spans="1:2">
      <c r="A549" s="236" t="s">
        <v>1192</v>
      </c>
      <c r="B549" s="432">
        <f>+Inflation!E561*100</f>
        <v>8.3437110834371211</v>
      </c>
    </row>
    <row r="550" spans="1:2">
      <c r="A550" s="236" t="s">
        <v>1193</v>
      </c>
      <c r="B550" s="432">
        <f>+Inflation!E562*100</f>
        <v>7.5588599752167696</v>
      </c>
    </row>
    <row r="551" spans="1:2">
      <c r="A551" s="236" t="s">
        <v>1194</v>
      </c>
      <c r="B551" s="432">
        <f>+Inflation!E563*100</f>
        <v>7.9404466501241</v>
      </c>
    </row>
    <row r="552" spans="1:2">
      <c r="A552" s="236" t="s">
        <v>1195</v>
      </c>
      <c r="B552" s="432">
        <f>+Inflation!E564*100</f>
        <v>8.3333333333333925</v>
      </c>
    </row>
    <row r="553" spans="1:2">
      <c r="A553" s="236" t="s">
        <v>1196</v>
      </c>
      <c r="B553" s="432">
        <f>+Inflation!E565*100</f>
        <v>8.6746987951806567</v>
      </c>
    </row>
    <row r="554" spans="1:2">
      <c r="A554" s="236" t="s">
        <v>1197</v>
      </c>
      <c r="B554" s="432">
        <f>+Inflation!E566*100</f>
        <v>8.8862559241705608</v>
      </c>
    </row>
    <row r="555" spans="1:2">
      <c r="A555" s="236" t="s">
        <v>1198</v>
      </c>
      <c r="B555" s="432">
        <f>+Inflation!E567*100</f>
        <v>12.514898688915444</v>
      </c>
    </row>
    <row r="556" spans="1:2">
      <c r="A556" s="236" t="s">
        <v>1199</v>
      </c>
      <c r="B556" s="432">
        <f>+Inflation!E568*100</f>
        <v>9.7532314923619126</v>
      </c>
    </row>
    <row r="557" spans="1:2">
      <c r="A557" s="236" t="s">
        <v>1200</v>
      </c>
      <c r="B557" s="432">
        <f>+Inflation!E569*100</f>
        <v>8.2558139534884223</v>
      </c>
    </row>
    <row r="558" spans="1:2">
      <c r="A558" s="236" t="s">
        <v>1201</v>
      </c>
      <c r="B558" s="432">
        <f>+Inflation!E570*100</f>
        <v>5.6128293241695104</v>
      </c>
    </row>
    <row r="559" spans="1:2">
      <c r="A559" s="236" t="s">
        <v>1202</v>
      </c>
      <c r="B559" s="432">
        <f>+Inflation!E571*100</f>
        <v>6.1573546180159866</v>
      </c>
    </row>
    <row r="560" spans="1:2">
      <c r="A560" s="236" t="s">
        <v>1203</v>
      </c>
      <c r="B560" s="432">
        <f>+Inflation!E572*100</f>
        <v>7.0938215102974267</v>
      </c>
    </row>
    <row r="561" spans="1:2">
      <c r="A561" s="236" t="s">
        <v>1204</v>
      </c>
      <c r="B561" s="432">
        <f>+Inflation!E573*100</f>
        <v>6.8965517241379226</v>
      </c>
    </row>
    <row r="562" spans="1:2">
      <c r="A562" s="236" t="s">
        <v>1205</v>
      </c>
      <c r="B562" s="432">
        <f>+Inflation!E574*100</f>
        <v>7.4884792626728869</v>
      </c>
    </row>
    <row r="563" spans="1:2">
      <c r="A563" s="236" t="s">
        <v>1206</v>
      </c>
      <c r="B563" s="432">
        <f>+Inflation!E575*100</f>
        <v>10.919540229884994</v>
      </c>
    </row>
    <row r="564" spans="1:2">
      <c r="A564" s="236" t="s">
        <v>1207</v>
      </c>
      <c r="B564" s="432">
        <f>+Inflation!E576*100</f>
        <v>10.18099547511313</v>
      </c>
    </row>
    <row r="565" spans="1:2">
      <c r="A565" s="236" t="s">
        <v>1208</v>
      </c>
      <c r="B565" s="432">
        <f>+Inflation!E577*100</f>
        <v>11.973392461197395</v>
      </c>
    </row>
    <row r="566" spans="1:2">
      <c r="A566" s="236" t="s">
        <v>1209</v>
      </c>
      <c r="B566" s="432">
        <f>+Inflation!E578*100</f>
        <v>7.3993471164309765</v>
      </c>
    </row>
    <row r="567" spans="1:2">
      <c r="A567" s="236" t="s">
        <v>1210</v>
      </c>
      <c r="B567" s="432">
        <f>+Inflation!E579*100</f>
        <v>5.9322033898304927</v>
      </c>
    </row>
    <row r="568" spans="1:2">
      <c r="A568" s="236" t="s">
        <v>1211</v>
      </c>
      <c r="B568" s="432">
        <f>+Inflation!E580*100</f>
        <v>8.7794432548179415</v>
      </c>
    </row>
    <row r="569" spans="1:2">
      <c r="A569" s="236" t="s">
        <v>1212</v>
      </c>
      <c r="B569" s="432">
        <f>+Inflation!E581*100</f>
        <v>10.526315789473584</v>
      </c>
    </row>
    <row r="570" spans="1:2">
      <c r="A570" s="236" t="s">
        <v>1213</v>
      </c>
      <c r="B570" s="432">
        <f>+Inflation!E582*100</f>
        <v>12.36442516268983</v>
      </c>
    </row>
    <row r="571" spans="1:2">
      <c r="A571" s="236" t="s">
        <v>1214</v>
      </c>
      <c r="B571" s="432">
        <f>+Inflation!E583*100</f>
        <v>12.137486573576762</v>
      </c>
    </row>
    <row r="572" spans="1:2">
      <c r="A572" s="236" t="s">
        <v>1215</v>
      </c>
      <c r="B572" s="432">
        <f>+Inflation!E584*100</f>
        <v>11.324786324786306</v>
      </c>
    </row>
    <row r="573" spans="1:2">
      <c r="A573" s="236" t="s">
        <v>1216</v>
      </c>
      <c r="B573" s="432">
        <f>+Inflation!E585*100</f>
        <v>13.333333333333353</v>
      </c>
    </row>
    <row r="574" spans="1:2">
      <c r="A574" s="236" t="s">
        <v>1217</v>
      </c>
      <c r="B574" s="432">
        <f>+Inflation!E586*100</f>
        <v>13.504823151125379</v>
      </c>
    </row>
    <row r="575" spans="1:2">
      <c r="A575" s="236" t="s">
        <v>1218</v>
      </c>
      <c r="B575" s="432">
        <f>+Inflation!E587*100</f>
        <v>10.36269430051815</v>
      </c>
    </row>
    <row r="576" spans="1:2">
      <c r="A576" s="236" t="s">
        <v>1219</v>
      </c>
      <c r="B576" s="432">
        <f>+Inflation!E588*100</f>
        <v>9.0349075975358453</v>
      </c>
    </row>
    <row r="577" spans="1:2">
      <c r="A577" s="236" t="s">
        <v>1220</v>
      </c>
      <c r="B577" s="432">
        <f>+Inflation!E589*100</f>
        <v>5.445544554455406</v>
      </c>
    </row>
    <row r="578" spans="1:2">
      <c r="A578" s="236" t="s">
        <v>1221</v>
      </c>
      <c r="B578" s="432">
        <f>+Inflation!E590*100</f>
        <v>8.3080040526848578</v>
      </c>
    </row>
    <row r="579" spans="1:2">
      <c r="A579" s="236" t="s">
        <v>1222</v>
      </c>
      <c r="B579" s="432">
        <f>+Inflation!E591*100</f>
        <v>7.4999999999999512</v>
      </c>
    </row>
    <row r="580" spans="1:2">
      <c r="A580" s="236" t="s">
        <v>1223</v>
      </c>
      <c r="B580" s="432">
        <f>+Inflation!E592*100</f>
        <v>5.9055118110236116</v>
      </c>
    </row>
    <row r="581" spans="1:2">
      <c r="A581" s="236" t="s">
        <v>1224</v>
      </c>
      <c r="B581" s="432">
        <f>+Inflation!E593*100</f>
        <v>4.2759961127308399</v>
      </c>
    </row>
    <row r="582" spans="1:2">
      <c r="A582" s="236" t="s">
        <v>1225</v>
      </c>
      <c r="B582" s="432">
        <f>+Inflation!E594*100</f>
        <v>3.3783783783784216</v>
      </c>
    </row>
    <row r="583" spans="1:2">
      <c r="A583" s="236" t="s">
        <v>1226</v>
      </c>
      <c r="B583" s="432">
        <f>+Inflation!E595*100</f>
        <v>2.0114942528734803</v>
      </c>
    </row>
    <row r="584" spans="1:2">
      <c r="A584" s="236" t="s">
        <v>1227</v>
      </c>
      <c r="B584" s="432">
        <f>+Inflation!E596*100</f>
        <v>2.207293666026855</v>
      </c>
    </row>
    <row r="585" spans="1:2">
      <c r="A585" s="236" t="s">
        <v>1228</v>
      </c>
      <c r="B585" s="432">
        <f>+Inflation!E597*100</f>
        <v>1.8975332068311257</v>
      </c>
    </row>
    <row r="586" spans="1:2">
      <c r="A586" s="236" t="s">
        <v>1229</v>
      </c>
      <c r="B586" s="432">
        <f>+Inflation!E598*100</f>
        <v>1.1331444759207443</v>
      </c>
    </row>
    <row r="587" spans="1:2">
      <c r="A587" s="236" t="s">
        <v>1230</v>
      </c>
      <c r="B587" s="432">
        <f>+Inflation!E599*100</f>
        <v>1.5962441314554043</v>
      </c>
    </row>
    <row r="588" spans="1:2">
      <c r="A588" s="236" t="s">
        <v>1231</v>
      </c>
      <c r="B588" s="432">
        <f>+Inflation!E600*100</f>
        <v>2.2598870056497411</v>
      </c>
    </row>
    <row r="589" spans="1:2">
      <c r="A589" s="236" t="s">
        <v>1232</v>
      </c>
      <c r="B589" s="432">
        <f>+Inflation!E601*100</f>
        <v>2.8169014084507005</v>
      </c>
    </row>
    <row r="590" spans="1:2">
      <c r="A590" s="236" t="s">
        <v>1233</v>
      </c>
      <c r="B590" s="432">
        <f>+Inflation!E602*100</f>
        <v>1.9644527595884309</v>
      </c>
    </row>
    <row r="591" spans="1:2">
      <c r="A591" s="236" t="s">
        <v>1234</v>
      </c>
      <c r="B591" s="432">
        <f>+Inflation!E603*100</f>
        <v>1.8604651162790642</v>
      </c>
    </row>
    <row r="592" spans="1:2">
      <c r="A592" s="236" t="s">
        <v>1235</v>
      </c>
      <c r="B592" s="432">
        <f>+Inflation!E604*100</f>
        <v>2.7881040892193232</v>
      </c>
    </row>
    <row r="593" spans="1:2">
      <c r="A593" s="236" t="s">
        <v>1236</v>
      </c>
      <c r="B593" s="432">
        <f>+Inflation!E605*100</f>
        <v>2.9822926374650116</v>
      </c>
    </row>
    <row r="594" spans="1:2">
      <c r="A594" s="236" t="s">
        <v>1237</v>
      </c>
      <c r="B594" s="432">
        <f>+Inflation!E606*100</f>
        <v>4.1083099906628506</v>
      </c>
    </row>
    <row r="595" spans="1:2">
      <c r="A595" s="236" t="s">
        <v>1238</v>
      </c>
      <c r="B595" s="432">
        <f>+Inflation!E607*100</f>
        <v>5.5399061032864738</v>
      </c>
    </row>
    <row r="596" spans="1:2">
      <c r="A596" s="236" t="s">
        <v>1239</v>
      </c>
      <c r="B596" s="432">
        <f>+Inflation!E608*100</f>
        <v>4.5070422535211652</v>
      </c>
    </row>
    <row r="597" spans="1:2">
      <c r="A597" s="236" t="s">
        <v>1240</v>
      </c>
      <c r="B597" s="432">
        <f>+Inflation!E609*100</f>
        <v>4.2830540037243514</v>
      </c>
    </row>
    <row r="598" spans="1:2">
      <c r="A598" s="236" t="s">
        <v>1241</v>
      </c>
      <c r="B598" s="432">
        <f>+Inflation!E610*100</f>
        <v>4.6685340802987918</v>
      </c>
    </row>
    <row r="599" spans="1:2">
      <c r="A599" s="236" t="s">
        <v>1242</v>
      </c>
      <c r="B599" s="432">
        <f>+Inflation!E611*100</f>
        <v>4.5286506469503607</v>
      </c>
    </row>
    <row r="600" spans="1:2">
      <c r="A600" s="236" t="s">
        <v>1243</v>
      </c>
      <c r="B600" s="432">
        <f>+Inflation!E612*100</f>
        <v>3.7753222836095945</v>
      </c>
    </row>
    <row r="601" spans="1:2">
      <c r="A601" s="236" t="s">
        <v>1244</v>
      </c>
      <c r="B601" s="432">
        <f>+Inflation!E613*100</f>
        <v>5.2054794520550285</v>
      </c>
    </row>
    <row r="602" spans="1:2">
      <c r="A602" s="236" t="s">
        <v>1245</v>
      </c>
      <c r="B602" s="432">
        <f>+Inflation!E614*100</f>
        <v>6.1467889908255025</v>
      </c>
    </row>
    <row r="603" spans="1:2">
      <c r="A603" s="236" t="s">
        <v>1246</v>
      </c>
      <c r="B603" s="432">
        <f>+Inflation!E615*100</f>
        <v>7.2146118721466257</v>
      </c>
    </row>
    <row r="604" spans="1:2">
      <c r="A604" s="236" t="s">
        <v>1247</v>
      </c>
      <c r="B604" s="432">
        <f>+Inflation!E616*100</f>
        <v>7.775768535262606</v>
      </c>
    </row>
    <row r="605" spans="1:2">
      <c r="A605" s="236" t="s">
        <v>1248</v>
      </c>
      <c r="B605" s="432">
        <f>+Inflation!E617*100</f>
        <v>9.5022624434392569</v>
      </c>
    </row>
    <row r="606" spans="1:2">
      <c r="A606" s="236" t="s">
        <v>1249</v>
      </c>
      <c r="B606" s="432">
        <f>+Inflation!E618*100</f>
        <v>10.31390134529142</v>
      </c>
    </row>
    <row r="607" spans="1:2">
      <c r="A607" s="236" t="s">
        <v>1250</v>
      </c>
      <c r="B607" s="432">
        <f>+Inflation!E619*100</f>
        <v>9.0747330960849517</v>
      </c>
    </row>
    <row r="608" spans="1:2">
      <c r="A608" s="236" t="s">
        <v>1251</v>
      </c>
      <c r="B608" s="432">
        <f>+Inflation!E620*100</f>
        <v>10.152740341419175</v>
      </c>
    </row>
    <row r="609" spans="1:2">
      <c r="A609" s="236" t="s">
        <v>1252</v>
      </c>
      <c r="B609" s="432">
        <f>+Inflation!E621*100</f>
        <v>8.8392857142860048</v>
      </c>
    </row>
    <row r="610" spans="1:2">
      <c r="A610" s="236" t="s">
        <v>1253</v>
      </c>
      <c r="B610" s="432">
        <f>+Inflation!E622*100</f>
        <v>8.7421944692241524</v>
      </c>
    </row>
    <row r="611" spans="1:2">
      <c r="A611" s="236" t="s">
        <v>1254</v>
      </c>
      <c r="B611" s="432">
        <f>+Inflation!E623*100</f>
        <v>8.8417329796639965</v>
      </c>
    </row>
    <row r="612" spans="1:2">
      <c r="A612" s="236" t="s">
        <v>1255</v>
      </c>
      <c r="B612" s="432">
        <f>+Inflation!E624*100</f>
        <v>9.4055013309670485</v>
      </c>
    </row>
    <row r="613" spans="1:2">
      <c r="A613" s="236" t="s">
        <v>1256</v>
      </c>
      <c r="B613" s="432">
        <f>+Inflation!E625*100</f>
        <v>6.1631944444438869</v>
      </c>
    </row>
    <row r="614" spans="1:2">
      <c r="A614" s="236" t="s">
        <v>1257</v>
      </c>
      <c r="B614" s="432">
        <f>+Inflation!E626*100</f>
        <v>5.6179775280903232</v>
      </c>
    </row>
    <row r="615" spans="1:2">
      <c r="A615" s="236" t="s">
        <v>1258</v>
      </c>
      <c r="B615" s="432">
        <f>+Inflation!E627*100</f>
        <v>4.9403747870519599</v>
      </c>
    </row>
    <row r="616" spans="1:2">
      <c r="A616" s="236" t="s">
        <v>1259</v>
      </c>
      <c r="B616" s="432">
        <f>+Inflation!E628*100</f>
        <v>4.4463087248317157</v>
      </c>
    </row>
    <row r="617" spans="1:2">
      <c r="A617" s="236" t="s">
        <v>1260</v>
      </c>
      <c r="B617" s="432">
        <f>+Inflation!E629*100</f>
        <v>4.4628099173551927</v>
      </c>
    </row>
    <row r="618" spans="1:2">
      <c r="A618" s="236" t="s">
        <v>1261</v>
      </c>
      <c r="B618" s="432">
        <f>+Inflation!E630*100</f>
        <v>3.2520325203253986</v>
      </c>
    </row>
    <row r="619" spans="1:2">
      <c r="A619" s="236" t="s">
        <v>1262</v>
      </c>
      <c r="B619" s="432">
        <f>+Inflation!E631*100</f>
        <v>3.3442088091359068</v>
      </c>
    </row>
    <row r="620" spans="1:2">
      <c r="A620" s="236" t="s">
        <v>1263</v>
      </c>
      <c r="B620" s="432">
        <f>+Inflation!E632*100</f>
        <v>3.7520391517130713</v>
      </c>
    </row>
    <row r="621" spans="1:2">
      <c r="A621" s="236" t="s">
        <v>1264</v>
      </c>
      <c r="B621" s="432">
        <f>+Inflation!E633*100</f>
        <v>3.9376538146019824</v>
      </c>
    </row>
    <row r="622" spans="1:2">
      <c r="A622" s="236" t="s">
        <v>1265</v>
      </c>
      <c r="B622" s="432">
        <f>+Inflation!E634*100</f>
        <v>4.0196882690731517</v>
      </c>
    </row>
    <row r="623" spans="1:2">
      <c r="A623" s="236" t="s">
        <v>1266</v>
      </c>
      <c r="B623" s="432">
        <f>+Inflation!E635*100</f>
        <v>2.7619821283511259</v>
      </c>
    </row>
    <row r="624" spans="1:2">
      <c r="A624" s="236" t="s">
        <v>1267</v>
      </c>
      <c r="B624" s="432">
        <f>+Inflation!E636*100</f>
        <v>2.7575020275752316</v>
      </c>
    </row>
    <row r="625" spans="1:2">
      <c r="A625" s="236" t="s">
        <v>1268</v>
      </c>
      <c r="B625" s="432">
        <f>+Inflation!E637*100</f>
        <v>3.3524121013905228</v>
      </c>
    </row>
    <row r="626" spans="1:2">
      <c r="A626" s="236" t="s">
        <v>1269</v>
      </c>
      <c r="B626" s="432">
        <f>+Inflation!E638*100</f>
        <v>4.0916530278227725</v>
      </c>
    </row>
    <row r="627" spans="1:2">
      <c r="A627" s="236" t="s">
        <v>1270</v>
      </c>
      <c r="B627" s="432">
        <f>+Inflation!E639*100</f>
        <v>3.9772727272729069</v>
      </c>
    </row>
    <row r="628" spans="1:2">
      <c r="A628" s="236" t="s">
        <v>1271</v>
      </c>
      <c r="B628" s="432">
        <f>+Inflation!E640*100</f>
        <v>4.0963855421685347</v>
      </c>
    </row>
    <row r="629" spans="1:2">
      <c r="A629" s="236" t="s">
        <v>1272</v>
      </c>
      <c r="B629" s="432">
        <f>+Inflation!E641*100</f>
        <v>1.7405063291141554</v>
      </c>
    </row>
    <row r="630" spans="1:2">
      <c r="A630" s="236" t="s">
        <v>1273</v>
      </c>
      <c r="B630" s="432">
        <f>+Inflation!E642*100</f>
        <v>1.1811023622046779</v>
      </c>
    </row>
    <row r="631" spans="1:2">
      <c r="A631" s="236" t="s">
        <v>1274</v>
      </c>
      <c r="B631" s="432">
        <f>+Inflation!E643*100</f>
        <v>1.5785319652719343</v>
      </c>
    </row>
    <row r="632" spans="1:2">
      <c r="A632" s="236" t="s">
        <v>1275</v>
      </c>
      <c r="B632" s="432">
        <f>+Inflation!E644*100</f>
        <v>0.86477987421440528</v>
      </c>
    </row>
    <row r="633" spans="1:2">
      <c r="A633" s="236" t="s">
        <v>1276</v>
      </c>
      <c r="B633" s="432">
        <f>+Inflation!E645*100</f>
        <v>1.7363851617997472</v>
      </c>
    </row>
    <row r="634" spans="1:2">
      <c r="A634" s="236" t="s">
        <v>1277</v>
      </c>
      <c r="B634" s="432">
        <f>+Inflation!E646*100</f>
        <v>2.2082018927437996</v>
      </c>
    </row>
    <row r="635" spans="1:2">
      <c r="A635" s="236" t="s">
        <v>1278</v>
      </c>
      <c r="B635" s="432">
        <f>+Inflation!E647*100</f>
        <v>3.0830039525690411</v>
      </c>
    </row>
    <row r="636" spans="1:2">
      <c r="A636" s="236" t="s">
        <v>1279</v>
      </c>
      <c r="B636" s="432">
        <f>+Inflation!E648*100</f>
        <v>3.2359905288077861</v>
      </c>
    </row>
    <row r="637" spans="1:2">
      <c r="A637" s="236" t="s">
        <v>1280</v>
      </c>
      <c r="B637" s="432">
        <f>+Inflation!E649*100</f>
        <v>4.3512658227849554</v>
      </c>
    </row>
    <row r="638" spans="1:2">
      <c r="A638" s="236" t="s">
        <v>1281</v>
      </c>
      <c r="B638" s="432">
        <f>+Inflation!E650*100</f>
        <v>4.4025157232708834</v>
      </c>
    </row>
    <row r="639" spans="1:2">
      <c r="A639" s="236" t="s">
        <v>1282</v>
      </c>
      <c r="B639" s="432">
        <f>+Inflation!E651*100</f>
        <v>3.7470725995314869</v>
      </c>
    </row>
    <row r="640" spans="1:2">
      <c r="A640" s="236" t="s">
        <v>1283</v>
      </c>
      <c r="B640" s="432">
        <f>+Inflation!E652*100</f>
        <v>3.9351851851850528</v>
      </c>
    </row>
    <row r="641" spans="1:2">
      <c r="A641" s="236" t="s">
        <v>1284</v>
      </c>
      <c r="B641" s="432">
        <f>+Inflation!E653*100</f>
        <v>5.4432348367030148</v>
      </c>
    </row>
    <row r="642" spans="1:2">
      <c r="A642" s="236" t="s">
        <v>1285</v>
      </c>
      <c r="B642" s="432">
        <f>+Inflation!E654*100</f>
        <v>6.070038910505593</v>
      </c>
    </row>
    <row r="643" spans="1:2">
      <c r="A643" s="236" t="s">
        <v>1286</v>
      </c>
      <c r="B643" s="432">
        <f>+Inflation!E655*100</f>
        <v>6.3714063714064295</v>
      </c>
    </row>
    <row r="644" spans="1:2">
      <c r="A644" s="236" t="s">
        <v>1287</v>
      </c>
      <c r="B644" s="432">
        <f>+Inflation!E656*100</f>
        <v>7.0148090413091557</v>
      </c>
    </row>
    <row r="645" spans="1:2">
      <c r="A645" s="236" t="s">
        <v>1288</v>
      </c>
      <c r="B645" s="432">
        <f>+Inflation!E657*100</f>
        <v>6.3615205585725754</v>
      </c>
    </row>
    <row r="646" spans="1:2">
      <c r="A646" s="236" t="s">
        <v>1289</v>
      </c>
      <c r="B646" s="432">
        <f>+Inflation!E658*100</f>
        <v>5.4783950617287802</v>
      </c>
    </row>
    <row r="647" spans="1:2">
      <c r="A647" s="236" t="s">
        <v>1290</v>
      </c>
      <c r="B647" s="432">
        <f>+Inflation!E659*100</f>
        <v>4.4478527607362928</v>
      </c>
    </row>
    <row r="648" spans="1:2">
      <c r="A648" s="236" t="s">
        <v>1291</v>
      </c>
      <c r="B648" s="432">
        <f>+Inflation!E660*100</f>
        <v>4.1284403669731962</v>
      </c>
    </row>
    <row r="649" spans="1:2">
      <c r="A649" s="236" t="s">
        <v>1292</v>
      </c>
      <c r="B649" s="432">
        <f>+Inflation!E661*100</f>
        <v>3.4874905231237152</v>
      </c>
    </row>
    <row r="650" spans="1:2">
      <c r="A650" s="236" t="s">
        <v>1293</v>
      </c>
      <c r="B650" s="432">
        <f>+Inflation!E662*100</f>
        <v>3.5391566265056129</v>
      </c>
    </row>
    <row r="651" spans="1:2">
      <c r="A651" s="236" t="s">
        <v>1294</v>
      </c>
      <c r="B651" s="432">
        <f>+Inflation!E663*100</f>
        <v>4.2136945071486576</v>
      </c>
    </row>
    <row r="652" spans="1:2">
      <c r="A652" s="236" t="s">
        <v>1295</v>
      </c>
      <c r="B652" s="432">
        <f>+Inflation!E664*100</f>
        <v>3.4149962880476892</v>
      </c>
    </row>
    <row r="653" spans="1:2">
      <c r="A653" s="236" t="s">
        <v>1296</v>
      </c>
      <c r="B653" s="432">
        <f>+Inflation!E665*100</f>
        <v>3.244837758111685</v>
      </c>
    </row>
    <row r="654" spans="1:2">
      <c r="A654" s="236" t="s">
        <v>1297</v>
      </c>
      <c r="B654" s="432">
        <f>+Inflation!E666*100</f>
        <v>2.6412325752016796</v>
      </c>
    </row>
    <row r="655" spans="1:2">
      <c r="A655" s="236" t="s">
        <v>1298</v>
      </c>
      <c r="B655" s="432">
        <f>+Inflation!E667*100</f>
        <v>2.0452885317752356</v>
      </c>
    </row>
    <row r="656" spans="1:2">
      <c r="A656" s="236" t="s">
        <v>1299</v>
      </c>
      <c r="B656" s="432">
        <f>+Inflation!E668*100</f>
        <v>3.2774945375089848</v>
      </c>
    </row>
    <row r="657" spans="1:2">
      <c r="A657" s="236" t="s">
        <v>1300</v>
      </c>
      <c r="B657" s="432">
        <f>+Inflation!E669*100</f>
        <v>2.4799416484311498</v>
      </c>
    </row>
    <row r="658" spans="1:2">
      <c r="A658" s="236" t="s">
        <v>1301</v>
      </c>
      <c r="B658" s="432">
        <f>+Inflation!E670*100</f>
        <v>3.5844915874178263</v>
      </c>
    </row>
    <row r="659" spans="1:2">
      <c r="A659" s="236" t="s">
        <v>1302</v>
      </c>
      <c r="B659" s="432">
        <f>+Inflation!E671*100</f>
        <v>3.8913362701904486</v>
      </c>
    </row>
    <row r="660" spans="1:2">
      <c r="A660" s="236" t="s">
        <v>1303</v>
      </c>
      <c r="B660" s="432">
        <f>+Inflation!E672*100</f>
        <v>3.7444933920703249</v>
      </c>
    </row>
    <row r="661" spans="1:2">
      <c r="A661" s="236" t="s">
        <v>1304</v>
      </c>
      <c r="B661" s="432">
        <f>+Inflation!E673*100</f>
        <v>3.2234432234428123</v>
      </c>
    </row>
    <row r="662" spans="1:2">
      <c r="A662" s="236" t="s">
        <v>1305</v>
      </c>
      <c r="B662" s="432">
        <f>+Inflation!E674*100</f>
        <v>2.9090909090910611</v>
      </c>
    </row>
    <row r="663" spans="1:2">
      <c r="A663" s="236" t="s">
        <v>1306</v>
      </c>
      <c r="B663" s="432">
        <f>+Inflation!E675*100</f>
        <v>3.104693140794379</v>
      </c>
    </row>
    <row r="664" spans="1:2">
      <c r="A664" s="236" t="s">
        <v>1307</v>
      </c>
      <c r="B664" s="432">
        <f>+Inflation!E676*100</f>
        <v>5.168700646088209</v>
      </c>
    </row>
    <row r="665" spans="1:2">
      <c r="A665" s="236" t="s">
        <v>1308</v>
      </c>
      <c r="B665" s="432">
        <f>+Inflation!E677*100</f>
        <v>5.1428571428569381</v>
      </c>
    </row>
    <row r="666" spans="1:2">
      <c r="A666" s="236" t="s">
        <v>1309</v>
      </c>
      <c r="B666" s="432">
        <f>+Inflation!E678*100</f>
        <v>4.7176554681922056</v>
      </c>
    </row>
    <row r="667" spans="1:2">
      <c r="A667" s="236" t="s">
        <v>1310</v>
      </c>
      <c r="B667" s="432">
        <f>+Inflation!E679*100</f>
        <v>4.5096635647815075</v>
      </c>
    </row>
    <row r="668" spans="1:2">
      <c r="A668" s="236" t="s">
        <v>1311</v>
      </c>
      <c r="B668" s="432">
        <f>+Inflation!E680*100</f>
        <v>3.4555712270805339</v>
      </c>
    </row>
    <row r="669" spans="1:2">
      <c r="A669" s="236" t="s">
        <v>1312</v>
      </c>
      <c r="B669" s="432">
        <f>+Inflation!E681*100</f>
        <v>4.6975088967977863</v>
      </c>
    </row>
    <row r="670" spans="1:2">
      <c r="A670" s="236" t="s">
        <v>1313</v>
      </c>
      <c r="B670" s="432">
        <f>+Inflation!E682*100</f>
        <v>2.8954802259883339</v>
      </c>
    </row>
    <row r="671" spans="1:2">
      <c r="A671" s="236" t="s">
        <v>1314</v>
      </c>
      <c r="B671" s="432">
        <f>+Inflation!E683*100</f>
        <v>3.180212014134165</v>
      </c>
    </row>
    <row r="672" spans="1:2">
      <c r="A672" s="236" t="s">
        <v>1315</v>
      </c>
      <c r="B672" s="432">
        <f>+Inflation!E684*100</f>
        <v>3.5385704175509014</v>
      </c>
    </row>
    <row r="673" spans="1:2">
      <c r="A673" s="236" t="s">
        <v>1316</v>
      </c>
      <c r="B673" s="432">
        <f>+Inflation!E685*100</f>
        <v>3.6195883605392609</v>
      </c>
    </row>
    <row r="674" spans="1:2">
      <c r="A674" s="236" t="s">
        <v>1317</v>
      </c>
      <c r="B674" s="432">
        <f>+Inflation!E686*100</f>
        <v>4.24028268551222</v>
      </c>
    </row>
    <row r="675" spans="1:2">
      <c r="A675" s="236" t="s">
        <v>1318</v>
      </c>
      <c r="B675" s="432">
        <f>+Inflation!E687*100</f>
        <v>3.9215686274505668</v>
      </c>
    </row>
    <row r="676" spans="1:2">
      <c r="A676" s="236" t="s">
        <v>1319</v>
      </c>
      <c r="B676" s="432">
        <f>+Inflation!E688*100</f>
        <v>1.9112627986342279</v>
      </c>
    </row>
    <row r="677" spans="1:2">
      <c r="A677" s="236" t="s">
        <v>1320</v>
      </c>
      <c r="B677" s="432">
        <f>+Inflation!E689*100</f>
        <v>2.3097826086958317</v>
      </c>
    </row>
    <row r="678" spans="1:2">
      <c r="A678" s="236" t="s">
        <v>1321</v>
      </c>
      <c r="B678" s="432">
        <f>+Inflation!E690*100</f>
        <v>2.7986348122863047</v>
      </c>
    </row>
    <row r="679" spans="1:2">
      <c r="A679" s="236" t="s">
        <v>1322</v>
      </c>
      <c r="B679" s="432">
        <f>+Inflation!E691*100</f>
        <v>3.6301369863017685</v>
      </c>
    </row>
    <row r="680" spans="1:2">
      <c r="A680" s="236" t="s">
        <v>1323</v>
      </c>
      <c r="B680" s="432">
        <f>+Inflation!E692*100</f>
        <v>3.4083162917514898</v>
      </c>
    </row>
    <row r="681" spans="1:2">
      <c r="A681" s="236" t="s">
        <v>1324</v>
      </c>
      <c r="B681" s="432">
        <f>+Inflation!E693*100</f>
        <v>2.9231815091768087</v>
      </c>
    </row>
    <row r="682" spans="1:2">
      <c r="A682" s="236" t="s">
        <v>1325</v>
      </c>
      <c r="B682" s="432">
        <f>+Inflation!E694*100</f>
        <v>3.9807824296499872</v>
      </c>
    </row>
    <row r="683" spans="1:2">
      <c r="A683" s="236" t="s">
        <v>1326</v>
      </c>
      <c r="B683" s="432">
        <f>+Inflation!E695*100</f>
        <v>4.0410958904109728</v>
      </c>
    </row>
    <row r="684" spans="1:2">
      <c r="A684" s="236" t="s">
        <v>1327</v>
      </c>
      <c r="B684" s="432">
        <f>+Inflation!E696*100</f>
        <v>4.1695146958304896</v>
      </c>
    </row>
    <row r="685" spans="1:2">
      <c r="A685" s="236" t="s">
        <v>1328</v>
      </c>
      <c r="B685" s="432">
        <f>+Inflation!E697*100</f>
        <v>4.9315068493150482</v>
      </c>
    </row>
    <row r="686" spans="1:2">
      <c r="A686" s="236" t="s">
        <v>1329</v>
      </c>
      <c r="B686" s="432">
        <f>+Inflation!E698*100</f>
        <v>4.6101694915254399</v>
      </c>
    </row>
    <row r="687" spans="1:2">
      <c r="A687" s="236" t="s">
        <v>1330</v>
      </c>
      <c r="B687" s="432">
        <f>+Inflation!E699*100</f>
        <v>4.514824797843664</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6" tint="0.39997558519241921"/>
  </sheetPr>
  <dimension ref="A1:F66"/>
  <sheetViews>
    <sheetView workbookViewId="0">
      <selection activeCell="D3" sqref="D3"/>
    </sheetView>
  </sheetViews>
  <sheetFormatPr defaultColWidth="11.44140625" defaultRowHeight="10.199999999999999"/>
  <cols>
    <col min="1" max="1" width="11.44140625" style="26"/>
    <col min="2" max="5" width="20.44140625" style="26" customWidth="1"/>
    <col min="6" max="16384" width="11.44140625" style="26"/>
  </cols>
  <sheetData>
    <row r="1" spans="1:6" ht="14.4">
      <c r="A1" s="63" t="s">
        <v>166</v>
      </c>
    </row>
    <row r="2" spans="1:6">
      <c r="B2" s="454" t="s">
        <v>112</v>
      </c>
      <c r="C2" s="454"/>
      <c r="D2" s="454"/>
      <c r="E2" s="454"/>
    </row>
    <row r="3" spans="1:6" ht="20.399999999999999">
      <c r="B3" s="7" t="s">
        <v>88</v>
      </c>
      <c r="C3" s="7" t="s">
        <v>115</v>
      </c>
      <c r="D3" s="7" t="s">
        <v>116</v>
      </c>
      <c r="E3" s="7" t="s">
        <v>117</v>
      </c>
    </row>
    <row r="4" spans="1:6">
      <c r="B4" s="33">
        <v>1960</v>
      </c>
      <c r="C4" s="135">
        <v>26.655999999999999</v>
      </c>
      <c r="D4" s="135">
        <v>2.246</v>
      </c>
      <c r="E4" s="135">
        <v>0.79100000000000004</v>
      </c>
    </row>
    <row r="5" spans="1:6">
      <c r="B5" s="33">
        <v>1961</v>
      </c>
      <c r="C5" s="135">
        <v>28.709</v>
      </c>
      <c r="D5" s="135">
        <v>4.1890000000000001</v>
      </c>
      <c r="E5" s="135">
        <v>0.96499999999999997</v>
      </c>
      <c r="F5" s="78"/>
    </row>
    <row r="6" spans="1:6">
      <c r="B6" s="33">
        <v>1962</v>
      </c>
      <c r="C6" s="135">
        <v>29.193999999999999</v>
      </c>
      <c r="D6" s="135">
        <v>4.226</v>
      </c>
      <c r="E6" s="135">
        <v>1.008</v>
      </c>
      <c r="F6" s="78"/>
    </row>
    <row r="7" spans="1:6">
      <c r="B7" s="33">
        <v>1963</v>
      </c>
      <c r="C7" s="135">
        <v>29.581</v>
      </c>
      <c r="D7" s="135">
        <v>3.2850000000000001</v>
      </c>
      <c r="E7" s="135">
        <v>1.2689999999999999</v>
      </c>
      <c r="F7" s="78"/>
    </row>
    <row r="8" spans="1:6">
      <c r="B8" s="33">
        <v>1964</v>
      </c>
      <c r="C8" s="135">
        <v>33.645000000000003</v>
      </c>
      <c r="D8" s="135">
        <v>4.3959999999999999</v>
      </c>
      <c r="E8" s="135">
        <v>1.411</v>
      </c>
      <c r="F8" s="78"/>
    </row>
    <row r="9" spans="1:6">
      <c r="B9" s="33">
        <v>1965</v>
      </c>
      <c r="C9" s="135">
        <v>41.984999999999999</v>
      </c>
      <c r="D9" s="135">
        <v>5.19</v>
      </c>
      <c r="E9" s="135">
        <v>1.5680000000000001</v>
      </c>
    </row>
    <row r="10" spans="1:6">
      <c r="B10" s="33">
        <v>1966</v>
      </c>
      <c r="C10" s="135">
        <v>52.198999999999998</v>
      </c>
      <c r="D10" s="135">
        <v>3.0019999999999998</v>
      </c>
      <c r="E10" s="135">
        <v>1.5209999999999999</v>
      </c>
    </row>
    <row r="11" spans="1:6">
      <c r="B11" s="33">
        <v>1967</v>
      </c>
      <c r="C11" s="135">
        <v>78.063000000000002</v>
      </c>
      <c r="D11" s="135">
        <v>4.46</v>
      </c>
      <c r="E11" s="135">
        <v>2.3660000000000001</v>
      </c>
    </row>
    <row r="12" spans="1:6">
      <c r="B12" s="33">
        <v>1968</v>
      </c>
      <c r="C12" s="135">
        <v>100.02</v>
      </c>
      <c r="D12" s="135">
        <v>6.8019999999999996</v>
      </c>
      <c r="E12" s="135">
        <v>2.6040000000000001</v>
      </c>
    </row>
    <row r="13" spans="1:6">
      <c r="B13" s="33">
        <v>1969</v>
      </c>
      <c r="C13" s="135">
        <v>121.334</v>
      </c>
      <c r="D13" s="135">
        <v>6.8879999999999999</v>
      </c>
      <c r="E13" s="135">
        <v>3.59</v>
      </c>
    </row>
    <row r="14" spans="1:6">
      <c r="B14" s="33">
        <v>1970</v>
      </c>
      <c r="C14" s="135">
        <v>146.977</v>
      </c>
      <c r="D14" s="135">
        <v>7.7350000000000003</v>
      </c>
      <c r="E14" s="135">
        <v>4.306</v>
      </c>
    </row>
    <row r="15" spans="1:6">
      <c r="B15" s="33">
        <v>1971</v>
      </c>
      <c r="C15" s="135">
        <v>165.71299999999999</v>
      </c>
      <c r="D15" s="135">
        <v>7.8250000000000002</v>
      </c>
      <c r="E15" s="135">
        <v>5.6429999999999998</v>
      </c>
    </row>
    <row r="16" spans="1:6">
      <c r="B16" s="33">
        <v>1972</v>
      </c>
      <c r="C16" s="135">
        <v>181.43600000000001</v>
      </c>
      <c r="D16" s="135">
        <v>10.464</v>
      </c>
      <c r="E16" s="135">
        <v>7.0179999999999998</v>
      </c>
    </row>
    <row r="17" spans="2:5">
      <c r="B17" s="33">
        <v>1973</v>
      </c>
      <c r="C17" s="135">
        <v>195.39500000000001</v>
      </c>
      <c r="D17" s="135">
        <v>11.259</v>
      </c>
      <c r="E17" s="135">
        <v>6.8959999999999999</v>
      </c>
    </row>
    <row r="18" spans="2:5">
      <c r="B18" s="33">
        <v>1974</v>
      </c>
      <c r="C18" s="135">
        <v>225.84200000000001</v>
      </c>
      <c r="D18" s="135">
        <v>13.553000000000001</v>
      </c>
      <c r="E18" s="135">
        <v>8.0449999999999999</v>
      </c>
    </row>
    <row r="19" spans="2:5">
      <c r="B19" s="33">
        <v>1975</v>
      </c>
      <c r="C19" s="135">
        <v>267.37400000000002</v>
      </c>
      <c r="D19" s="135">
        <v>15.412000000000001</v>
      </c>
      <c r="E19" s="135">
        <v>9.827</v>
      </c>
    </row>
    <row r="20" spans="2:5">
      <c r="B20" s="33">
        <v>1976</v>
      </c>
      <c r="C20" s="135">
        <v>383.41800000000001</v>
      </c>
      <c r="D20" s="135">
        <v>14.132999999999999</v>
      </c>
      <c r="E20" s="135">
        <v>10.244999999999999</v>
      </c>
    </row>
    <row r="21" spans="2:5">
      <c r="B21" s="33">
        <v>1977</v>
      </c>
      <c r="C21" s="135">
        <v>431.73200000000003</v>
      </c>
      <c r="D21" s="135">
        <v>19.545000000000002</v>
      </c>
      <c r="E21" s="135">
        <v>14.129</v>
      </c>
    </row>
    <row r="22" spans="2:5">
      <c r="B22" s="33">
        <v>1978</v>
      </c>
      <c r="C22" s="135">
        <v>561.75300000000004</v>
      </c>
      <c r="D22" s="135">
        <v>27.277000000000001</v>
      </c>
      <c r="E22" s="135">
        <v>18.48</v>
      </c>
    </row>
    <row r="23" spans="2:5">
      <c r="B23" s="33">
        <v>1979</v>
      </c>
      <c r="C23" s="135">
        <v>573.96799999999996</v>
      </c>
      <c r="D23" s="135">
        <v>33.656999999999996</v>
      </c>
      <c r="E23" s="135">
        <v>25.64</v>
      </c>
    </row>
    <row r="24" spans="2:5">
      <c r="B24" s="33">
        <v>1980</v>
      </c>
      <c r="C24" s="135">
        <v>690.64</v>
      </c>
      <c r="D24" s="135">
        <v>39.768999999999998</v>
      </c>
      <c r="E24" s="135">
        <v>32.905000000000001</v>
      </c>
    </row>
    <row r="25" spans="2:5">
      <c r="B25" s="33">
        <v>1981</v>
      </c>
      <c r="C25" s="135">
        <v>713.755</v>
      </c>
      <c r="D25" s="135">
        <v>44.375</v>
      </c>
      <c r="E25" s="135">
        <v>34.137</v>
      </c>
    </row>
    <row r="26" spans="2:5">
      <c r="B26" s="33">
        <v>1982</v>
      </c>
      <c r="C26" s="135">
        <v>941.42200000000003</v>
      </c>
      <c r="D26" s="135">
        <v>44.277000000000001</v>
      </c>
      <c r="E26" s="135">
        <v>41.546999999999997</v>
      </c>
    </row>
    <row r="27" spans="2:5">
      <c r="B27" s="33">
        <v>1983</v>
      </c>
      <c r="C27" s="135">
        <v>1203.787</v>
      </c>
      <c r="D27" s="135">
        <v>44.396000000000001</v>
      </c>
      <c r="E27" s="135">
        <v>47.619</v>
      </c>
    </row>
    <row r="28" spans="2:5">
      <c r="B28" s="33">
        <v>1984</v>
      </c>
      <c r="C28" s="135">
        <v>1402.075</v>
      </c>
      <c r="D28" s="135">
        <v>62.293999999999997</v>
      </c>
      <c r="E28" s="135">
        <v>57.905000000000001</v>
      </c>
    </row>
    <row r="29" spans="2:5">
      <c r="B29" s="33">
        <v>1985</v>
      </c>
      <c r="C29" s="135">
        <v>1522.69</v>
      </c>
      <c r="D29" s="135">
        <v>88.981999999999999</v>
      </c>
      <c r="E29" s="135">
        <v>79.335999999999999</v>
      </c>
    </row>
    <row r="30" spans="2:5">
      <c r="B30" s="33">
        <v>1986</v>
      </c>
      <c r="C30" s="135">
        <v>1722.432</v>
      </c>
      <c r="D30" s="135">
        <v>120.167</v>
      </c>
      <c r="E30" s="135">
        <v>90.734999999999999</v>
      </c>
    </row>
    <row r="31" spans="2:5">
      <c r="B31" s="33">
        <v>1987</v>
      </c>
      <c r="C31" s="135">
        <v>1924.1590000000001</v>
      </c>
      <c r="D31" s="135">
        <v>178.73599999999999</v>
      </c>
      <c r="E31" s="135">
        <v>116.456</v>
      </c>
    </row>
    <row r="32" spans="2:5">
      <c r="B32" s="33">
        <v>1988</v>
      </c>
      <c r="C32" s="135">
        <v>1884.646</v>
      </c>
      <c r="D32" s="135">
        <v>165.83799999999999</v>
      </c>
      <c r="E32" s="135">
        <v>117.16</v>
      </c>
    </row>
    <row r="33" spans="2:5">
      <c r="B33" s="33">
        <v>1989</v>
      </c>
      <c r="C33" s="135">
        <v>2076.17</v>
      </c>
      <c r="D33" s="135">
        <v>58.039000000000001</v>
      </c>
      <c r="E33" s="135">
        <v>72.111000000000004</v>
      </c>
    </row>
    <row r="34" spans="2:5">
      <c r="B34" s="33">
        <v>1990</v>
      </c>
      <c r="C34" s="135">
        <v>1669.8789999999999</v>
      </c>
      <c r="D34" s="135">
        <v>199.04599999999999</v>
      </c>
      <c r="E34" s="135">
        <v>78.95</v>
      </c>
    </row>
    <row r="35" spans="2:5">
      <c r="B35" s="33">
        <v>1991</v>
      </c>
      <c r="C35" s="135">
        <v>1636.72</v>
      </c>
      <c r="D35" s="135">
        <v>128.48699999999999</v>
      </c>
      <c r="E35" s="135">
        <v>90.400999999999996</v>
      </c>
    </row>
    <row r="36" spans="2:5">
      <c r="B36" s="33">
        <v>1992</v>
      </c>
      <c r="C36" s="135">
        <v>1248.807</v>
      </c>
      <c r="D36" s="135">
        <v>381.161</v>
      </c>
      <c r="E36" s="135">
        <v>248.19499999999999</v>
      </c>
    </row>
    <row r="37" spans="2:5">
      <c r="B37" s="33">
        <v>1993</v>
      </c>
      <c r="C37" s="135">
        <v>1217.4939999999999</v>
      </c>
      <c r="D37" s="135">
        <v>148.93899999999999</v>
      </c>
      <c r="E37" s="135">
        <v>83.823999999999998</v>
      </c>
    </row>
    <row r="38" spans="2:5">
      <c r="B38" s="33">
        <v>1994</v>
      </c>
      <c r="C38" s="135">
        <v>1240.2619999999999</v>
      </c>
      <c r="D38" s="135">
        <v>139.38800000000001</v>
      </c>
      <c r="E38" s="135">
        <v>82.805999999999997</v>
      </c>
    </row>
    <row r="39" spans="2:5">
      <c r="B39" s="33">
        <v>1995</v>
      </c>
      <c r="C39" s="135">
        <v>1406.789</v>
      </c>
      <c r="D39" s="135">
        <v>138.09800000000001</v>
      </c>
      <c r="E39" s="135">
        <v>64.617000000000004</v>
      </c>
    </row>
    <row r="40" spans="2:5">
      <c r="B40" s="33">
        <v>1996</v>
      </c>
      <c r="C40" s="135">
        <v>1398.865</v>
      </c>
      <c r="D40" s="135">
        <v>124.459</v>
      </c>
      <c r="E40" s="135">
        <v>59.956000000000003</v>
      </c>
    </row>
    <row r="41" spans="2:5">
      <c r="B41" s="33">
        <v>1997</v>
      </c>
      <c r="C41" s="135">
        <v>1444.3050000000001</v>
      </c>
      <c r="D41" s="135">
        <v>104.842</v>
      </c>
      <c r="E41" s="135">
        <v>58.42</v>
      </c>
    </row>
    <row r="42" spans="2:5">
      <c r="B42" s="33">
        <v>1998</v>
      </c>
      <c r="C42" s="135">
        <v>1599.3810000000001</v>
      </c>
      <c r="D42" s="135">
        <v>103.032</v>
      </c>
      <c r="E42" s="135">
        <v>62.271999999999998</v>
      </c>
    </row>
    <row r="43" spans="2:5">
      <c r="B43" s="33">
        <v>1999</v>
      </c>
      <c r="C43" s="135">
        <v>2111.4670000000001</v>
      </c>
      <c r="D43" s="135">
        <v>108.361</v>
      </c>
      <c r="E43" s="135">
        <v>62.3</v>
      </c>
    </row>
    <row r="44" spans="2:5">
      <c r="B44" s="33">
        <v>2000</v>
      </c>
      <c r="C44" s="135">
        <v>2234.3220000000001</v>
      </c>
      <c r="D44" s="135">
        <v>105.452</v>
      </c>
      <c r="E44" s="135">
        <v>94.647000000000006</v>
      </c>
    </row>
    <row r="45" spans="2:5">
      <c r="B45" s="33">
        <v>2001</v>
      </c>
      <c r="C45" s="135">
        <v>2162.4070000000002</v>
      </c>
      <c r="D45" s="135">
        <v>125.902</v>
      </c>
      <c r="E45" s="135">
        <v>104.27500000000001</v>
      </c>
    </row>
    <row r="46" spans="2:5">
      <c r="B46" s="33">
        <v>2002</v>
      </c>
      <c r="C46" s="135">
        <v>2283.0509999999999</v>
      </c>
      <c r="D46" s="135">
        <v>114.881</v>
      </c>
      <c r="E46" s="135">
        <v>74.924999999999997</v>
      </c>
    </row>
    <row r="47" spans="2:5">
      <c r="B47" s="33">
        <v>2003</v>
      </c>
      <c r="C47" s="135">
        <v>2477.5729999999999</v>
      </c>
      <c r="D47" s="135">
        <v>125.95</v>
      </c>
      <c r="E47" s="135">
        <v>82.24</v>
      </c>
    </row>
    <row r="48" spans="2:5">
      <c r="B48" s="33">
        <v>2004</v>
      </c>
      <c r="C48" s="135">
        <v>2390.6869999999999</v>
      </c>
      <c r="D48" s="135">
        <v>220.559</v>
      </c>
      <c r="E48" s="135">
        <v>108.599</v>
      </c>
    </row>
    <row r="49" spans="2:5">
      <c r="B49" s="33">
        <v>2005</v>
      </c>
      <c r="C49" s="135">
        <v>2271.1390000000001</v>
      </c>
      <c r="D49" s="135">
        <v>201.61099999999999</v>
      </c>
      <c r="E49" s="135">
        <v>89.748999999999995</v>
      </c>
    </row>
    <row r="50" spans="2:5">
      <c r="B50" s="33">
        <v>2006</v>
      </c>
      <c r="C50" s="135">
        <v>2230.0569999999998</v>
      </c>
      <c r="D50" s="135">
        <v>210.93700000000001</v>
      </c>
      <c r="E50" s="135">
        <v>93.608000000000004</v>
      </c>
    </row>
    <row r="51" spans="2:5">
      <c r="B51" s="33">
        <v>2007</v>
      </c>
      <c r="C51" s="135">
        <v>2205.33</v>
      </c>
      <c r="D51" s="135">
        <v>218.06299999999999</v>
      </c>
      <c r="E51" s="135">
        <v>103.40600000000001</v>
      </c>
    </row>
    <row r="52" spans="2:5">
      <c r="B52" s="33">
        <v>2008</v>
      </c>
      <c r="C52" s="135">
        <v>2234.1979999999999</v>
      </c>
      <c r="D52" s="135">
        <v>234.803</v>
      </c>
      <c r="E52" s="135">
        <v>92.009</v>
      </c>
    </row>
    <row r="53" spans="2:5">
      <c r="B53" s="33">
        <v>2009</v>
      </c>
      <c r="C53" s="135">
        <v>2236.8530000000001</v>
      </c>
      <c r="D53" s="135">
        <v>251.09299999999999</v>
      </c>
      <c r="E53" s="135">
        <v>87.870999999999995</v>
      </c>
    </row>
    <row r="54" spans="2:5">
      <c r="B54" s="33">
        <v>2010</v>
      </c>
      <c r="C54" s="135">
        <v>2335.4250000000002</v>
      </c>
      <c r="D54" s="135">
        <v>240.82499999999999</v>
      </c>
      <c r="E54" s="135">
        <v>59.962000000000003</v>
      </c>
    </row>
    <row r="55" spans="2:5">
      <c r="B55" s="33">
        <v>2011</v>
      </c>
      <c r="C55" s="135">
        <v>2284.723</v>
      </c>
      <c r="D55" s="135">
        <v>232.41300000000001</v>
      </c>
      <c r="E55" s="135">
        <v>60.594000000000001</v>
      </c>
    </row>
    <row r="56" spans="2:5">
      <c r="B56" s="33">
        <v>2012</v>
      </c>
      <c r="C56" s="135">
        <v>2241.06</v>
      </c>
      <c r="D56" s="135">
        <v>238.51400000000001</v>
      </c>
      <c r="E56" s="135">
        <v>53.454000000000001</v>
      </c>
    </row>
    <row r="57" spans="2:5">
      <c r="B57" s="33">
        <v>2013</v>
      </c>
      <c r="C57" s="135">
        <v>2676.9250000000002</v>
      </c>
      <c r="D57" s="135">
        <v>210.298</v>
      </c>
      <c r="E57" s="135">
        <v>64.524000000000001</v>
      </c>
    </row>
    <row r="58" spans="2:5">
      <c r="B58" s="33">
        <v>2014</v>
      </c>
      <c r="C58" s="135">
        <v>2676.9250000000002</v>
      </c>
      <c r="D58" s="135">
        <v>210.298</v>
      </c>
      <c r="E58" s="135">
        <v>64.524000000000001</v>
      </c>
    </row>
    <row r="59" spans="2:5">
      <c r="C59" s="4" t="s">
        <v>49</v>
      </c>
      <c r="D59" s="113" t="s">
        <v>49</v>
      </c>
      <c r="E59" s="113" t="s">
        <v>49</v>
      </c>
    </row>
    <row r="61" spans="2:5" ht="15" customHeight="1">
      <c r="B61" s="134"/>
      <c r="C61" s="134"/>
      <c r="D61" s="134"/>
      <c r="E61" s="134"/>
    </row>
    <row r="66" spans="3:3">
      <c r="C66" s="26">
        <v>1000</v>
      </c>
    </row>
  </sheetData>
  <mergeCells count="1">
    <mergeCell ref="B2:E2"/>
  </mergeCells>
  <hyperlinks>
    <hyperlink ref="A1" location="Índice!A1" display="Índice"/>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6" tint="0.39997558519241921"/>
  </sheetPr>
  <dimension ref="A1:C58"/>
  <sheetViews>
    <sheetView topLeftCell="A31" workbookViewId="0">
      <selection activeCell="C3" sqref="C3:C58"/>
    </sheetView>
  </sheetViews>
  <sheetFormatPr defaultColWidth="11.44140625" defaultRowHeight="14.4"/>
  <cols>
    <col min="3" max="3" width="12.44140625" customWidth="1"/>
  </cols>
  <sheetData>
    <row r="1" spans="1:3">
      <c r="A1" s="63" t="s">
        <v>166</v>
      </c>
      <c r="C1" s="47"/>
    </row>
    <row r="2" spans="1:3" ht="20.399999999999999">
      <c r="B2" s="48" t="s">
        <v>88</v>
      </c>
      <c r="C2" s="48" t="s">
        <v>169</v>
      </c>
    </row>
    <row r="3" spans="1:3">
      <c r="B3" s="44">
        <v>1960</v>
      </c>
      <c r="C3" s="12">
        <v>123.59</v>
      </c>
    </row>
    <row r="4" spans="1:3">
      <c r="B4" s="44">
        <v>1961</v>
      </c>
      <c r="C4" s="12">
        <v>123.61</v>
      </c>
    </row>
    <row r="5" spans="1:3">
      <c r="B5" s="44">
        <v>1962</v>
      </c>
      <c r="C5" s="12">
        <v>123.6</v>
      </c>
    </row>
    <row r="6" spans="1:3">
      <c r="B6" s="44">
        <v>1963</v>
      </c>
      <c r="C6" s="12">
        <v>123.6</v>
      </c>
    </row>
    <row r="7" spans="1:3">
      <c r="B7" s="44">
        <v>1964</v>
      </c>
      <c r="C7" s="12">
        <v>123.6</v>
      </c>
    </row>
    <row r="8" spans="1:3">
      <c r="B8" s="44">
        <v>1965</v>
      </c>
      <c r="C8" s="12">
        <v>123.6</v>
      </c>
    </row>
    <row r="9" spans="1:3">
      <c r="B9" s="44">
        <v>1966</v>
      </c>
      <c r="C9" s="12">
        <v>123.87</v>
      </c>
    </row>
    <row r="10" spans="1:3">
      <c r="B10" s="44">
        <v>1967</v>
      </c>
      <c r="C10" s="12">
        <v>123.87</v>
      </c>
    </row>
    <row r="11" spans="1:3">
      <c r="B11" s="44">
        <v>1968</v>
      </c>
      <c r="C11" s="12">
        <v>123.6</v>
      </c>
    </row>
    <row r="12" spans="1:3">
      <c r="B12" s="44">
        <v>1969</v>
      </c>
      <c r="C12" s="12">
        <v>123.6</v>
      </c>
    </row>
    <row r="13" spans="1:3">
      <c r="B13" s="44">
        <v>1970</v>
      </c>
      <c r="C13" s="12">
        <v>123.6</v>
      </c>
    </row>
    <row r="14" spans="1:3">
      <c r="B14" s="44">
        <v>1971</v>
      </c>
      <c r="C14" s="12">
        <v>123.6</v>
      </c>
    </row>
    <row r="15" spans="1:3">
      <c r="B15" s="44">
        <v>1972</v>
      </c>
      <c r="C15" s="12">
        <v>123.6</v>
      </c>
    </row>
    <row r="16" spans="1:3">
      <c r="B16" s="44">
        <v>1973</v>
      </c>
      <c r="C16" s="12">
        <v>123.6</v>
      </c>
    </row>
    <row r="17" spans="2:3">
      <c r="B17" s="44">
        <v>1974</v>
      </c>
      <c r="C17" s="12">
        <v>123.6</v>
      </c>
    </row>
    <row r="18" spans="2:3">
      <c r="B18" s="44">
        <v>1975</v>
      </c>
      <c r="C18" s="12">
        <v>123.6</v>
      </c>
    </row>
    <row r="19" spans="2:3">
      <c r="B19" s="44">
        <v>1976</v>
      </c>
      <c r="C19" s="12">
        <v>126.6</v>
      </c>
    </row>
    <row r="20" spans="2:3">
      <c r="B20" s="44">
        <v>1977</v>
      </c>
      <c r="C20" s="12">
        <v>126.6</v>
      </c>
    </row>
    <row r="21" spans="2:3">
      <c r="B21" s="44">
        <v>1978</v>
      </c>
      <c r="C21" s="12">
        <v>126.6</v>
      </c>
    </row>
    <row r="22" spans="2:3">
      <c r="B22" s="44">
        <v>1979</v>
      </c>
      <c r="C22" s="12">
        <v>126.6</v>
      </c>
    </row>
    <row r="23" spans="2:3">
      <c r="B23" s="44">
        <v>1980</v>
      </c>
      <c r="C23" s="12">
        <v>126.6</v>
      </c>
    </row>
    <row r="24" spans="2:3">
      <c r="B24" s="44">
        <v>1981</v>
      </c>
      <c r="C24" s="12">
        <v>126.6</v>
      </c>
    </row>
    <row r="25" spans="2:3">
      <c r="B25" s="44">
        <v>1982</v>
      </c>
      <c r="C25" s="12">
        <v>126.6</v>
      </c>
    </row>
    <row r="26" spans="2:3">
      <c r="B26" s="44">
        <v>1983</v>
      </c>
      <c r="C26" s="12">
        <v>126.6</v>
      </c>
    </row>
    <row r="27" spans="2:3">
      <c r="B27" s="44">
        <v>1984</v>
      </c>
      <c r="C27" s="12">
        <v>240</v>
      </c>
    </row>
    <row r="28" spans="2:3">
      <c r="B28" s="44">
        <v>1985</v>
      </c>
      <c r="C28" s="12">
        <v>240</v>
      </c>
    </row>
    <row r="29" spans="2:3">
      <c r="B29" s="44">
        <v>1986</v>
      </c>
      <c r="C29" s="12">
        <v>320</v>
      </c>
    </row>
    <row r="30" spans="2:3">
      <c r="B30" s="44">
        <v>1987</v>
      </c>
      <c r="C30" s="12">
        <v>320</v>
      </c>
    </row>
    <row r="31" spans="2:3">
      <c r="B31" s="70">
        <v>1988</v>
      </c>
      <c r="C31" s="12">
        <v>400</v>
      </c>
    </row>
    <row r="32" spans="2:3">
      <c r="B32" s="70">
        <v>1989</v>
      </c>
      <c r="C32" s="12">
        <v>1220</v>
      </c>
    </row>
    <row r="33" spans="2:3">
      <c r="B33" s="70">
        <v>1990</v>
      </c>
      <c r="C33" s="12">
        <v>1263</v>
      </c>
    </row>
    <row r="34" spans="2:3">
      <c r="B34" s="70">
        <v>1991</v>
      </c>
      <c r="C34" s="12">
        <v>1352</v>
      </c>
    </row>
    <row r="35" spans="2:3">
      <c r="B35" s="70">
        <v>1992</v>
      </c>
      <c r="C35" s="12">
        <v>1600</v>
      </c>
    </row>
    <row r="36" spans="2:3">
      <c r="B36" s="70">
        <v>1993</v>
      </c>
      <c r="C36" s="12">
        <v>1822</v>
      </c>
    </row>
    <row r="37" spans="2:3">
      <c r="B37" s="70">
        <v>1994</v>
      </c>
      <c r="C37" s="12">
        <v>1919</v>
      </c>
    </row>
    <row r="38" spans="2:3">
      <c r="B38" s="70">
        <v>1995</v>
      </c>
      <c r="C38" s="12">
        <v>1977</v>
      </c>
    </row>
    <row r="39" spans="2:3">
      <c r="B39" s="70">
        <v>1996</v>
      </c>
      <c r="C39" s="12">
        <v>2110</v>
      </c>
    </row>
    <row r="40" spans="2:3">
      <c r="B40" s="70">
        <v>1997</v>
      </c>
      <c r="C40" s="12">
        <v>2360</v>
      </c>
    </row>
    <row r="41" spans="2:3">
      <c r="B41" s="44">
        <v>1998</v>
      </c>
      <c r="C41" s="12">
        <v>2840</v>
      </c>
    </row>
    <row r="42" spans="2:3">
      <c r="B42" s="44">
        <v>1999</v>
      </c>
      <c r="C42" s="12">
        <v>3329</v>
      </c>
    </row>
    <row r="43" spans="2:3">
      <c r="B43" s="44">
        <v>2000</v>
      </c>
      <c r="C43" s="12">
        <v>3527</v>
      </c>
    </row>
    <row r="44" spans="2:3">
      <c r="B44" s="44">
        <v>2001</v>
      </c>
      <c r="C44" s="12">
        <v>4682</v>
      </c>
    </row>
    <row r="45" spans="2:3">
      <c r="B45" s="44">
        <v>2002</v>
      </c>
      <c r="C45" s="12">
        <v>7104</v>
      </c>
    </row>
    <row r="46" spans="2:3">
      <c r="B46" s="44">
        <v>2003</v>
      </c>
      <c r="C46" s="12">
        <v>5983</v>
      </c>
    </row>
    <row r="47" spans="2:3">
      <c r="B47" s="44">
        <v>2004</v>
      </c>
      <c r="C47" s="12">
        <v>6196</v>
      </c>
    </row>
    <row r="48" spans="2:3">
      <c r="B48" s="44">
        <v>2005</v>
      </c>
      <c r="C48" s="12">
        <v>6121</v>
      </c>
    </row>
    <row r="49" spans="2:3">
      <c r="B49" s="44">
        <v>2006</v>
      </c>
      <c r="C49" s="12">
        <v>5323</v>
      </c>
    </row>
    <row r="50" spans="2:3">
      <c r="B50" s="44">
        <v>2007</v>
      </c>
      <c r="C50" s="12">
        <v>4732</v>
      </c>
    </row>
    <row r="51" spans="2:3">
      <c r="B51" s="44">
        <v>2008</v>
      </c>
      <c r="C51" s="12">
        <v>4892</v>
      </c>
    </row>
    <row r="52" spans="2:3">
      <c r="B52" s="44">
        <v>2009</v>
      </c>
      <c r="C52" s="12">
        <v>4654</v>
      </c>
    </row>
    <row r="53" spans="2:3">
      <c r="B53" s="44">
        <v>2010</v>
      </c>
      <c r="C53" s="12">
        <v>4574</v>
      </c>
    </row>
    <row r="54" spans="2:3">
      <c r="B54" s="44">
        <v>2011</v>
      </c>
      <c r="C54" s="12">
        <v>4440</v>
      </c>
    </row>
    <row r="55" spans="2:3">
      <c r="B55" s="44">
        <v>2012</v>
      </c>
      <c r="C55" s="12">
        <v>4289</v>
      </c>
    </row>
    <row r="56" spans="2:3">
      <c r="B56" s="44">
        <v>2013</v>
      </c>
      <c r="C56" s="12">
        <v>4524</v>
      </c>
    </row>
    <row r="57" spans="2:3">
      <c r="B57" s="44">
        <v>2014</v>
      </c>
      <c r="C57" s="12">
        <v>4630</v>
      </c>
    </row>
    <row r="58" spans="2:3">
      <c r="C58" t="s">
        <v>168</v>
      </c>
    </row>
  </sheetData>
  <hyperlinks>
    <hyperlink ref="A1" location="Índice!A1" display="Índice"/>
  </hyperlink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C58"/>
  <sheetViews>
    <sheetView workbookViewId="0">
      <selection activeCell="C3" sqref="C3"/>
    </sheetView>
  </sheetViews>
  <sheetFormatPr defaultColWidth="11.44140625" defaultRowHeight="14.4"/>
  <cols>
    <col min="1" max="2" width="11.44140625" style="236"/>
    <col min="3" max="3" width="12.44140625" style="236" customWidth="1"/>
    <col min="4" max="16384" width="11.44140625" style="236"/>
  </cols>
  <sheetData>
    <row r="1" spans="1:3">
      <c r="A1" s="63" t="s">
        <v>166</v>
      </c>
    </row>
    <row r="2" spans="1:3">
      <c r="C2" s="255"/>
    </row>
    <row r="3" spans="1:3" ht="20.399999999999999">
      <c r="B3" s="256" t="s">
        <v>88</v>
      </c>
      <c r="C3" s="256" t="s">
        <v>170</v>
      </c>
    </row>
    <row r="4" spans="1:3">
      <c r="B4" s="257">
        <v>1960</v>
      </c>
      <c r="C4" s="135">
        <v>114.99940951518647</v>
      </c>
    </row>
    <row r="5" spans="1:3">
      <c r="B5" s="257">
        <v>1961</v>
      </c>
      <c r="C5" s="135">
        <v>97.503074853138571</v>
      </c>
    </row>
    <row r="6" spans="1:3">
      <c r="B6" s="257">
        <v>1962</v>
      </c>
      <c r="C6" s="135">
        <v>95.901146676000323</v>
      </c>
    </row>
    <row r="7" spans="1:3">
      <c r="B7" s="257">
        <v>1963</v>
      </c>
      <c r="C7" s="135">
        <v>94.091467057797729</v>
      </c>
    </row>
    <row r="8" spans="1:3">
      <c r="B8" s="257">
        <v>1964</v>
      </c>
      <c r="C8" s="135">
        <v>89.90834093662221</v>
      </c>
    </row>
    <row r="9" spans="1:3">
      <c r="B9" s="257">
        <v>1965</v>
      </c>
      <c r="C9" s="135">
        <v>88.042065826310363</v>
      </c>
    </row>
    <row r="10" spans="1:3">
      <c r="B10" s="257">
        <v>1966</v>
      </c>
      <c r="C10" s="135">
        <v>89.61051712325272</v>
      </c>
    </row>
    <row r="11" spans="1:3">
      <c r="B11" s="257">
        <v>1967</v>
      </c>
      <c r="C11" s="135">
        <v>90.209971802090493</v>
      </c>
    </row>
    <row r="12" spans="1:3">
      <c r="B12" s="257">
        <v>1968</v>
      </c>
      <c r="C12" s="135">
        <v>90.399202534075329</v>
      </c>
    </row>
    <row r="13" spans="1:3">
      <c r="B13" s="257">
        <v>1969</v>
      </c>
      <c r="C13" s="135">
        <v>93.961923613027352</v>
      </c>
    </row>
    <row r="14" spans="1:3">
      <c r="B14" s="257">
        <v>1970</v>
      </c>
      <c r="C14" s="135">
        <v>95.068691210333753</v>
      </c>
    </row>
    <row r="15" spans="1:3">
      <c r="B15" s="257">
        <v>1971</v>
      </c>
      <c r="C15" s="135">
        <v>92.145469051544225</v>
      </c>
    </row>
    <row r="16" spans="1:3">
      <c r="B16" s="257">
        <v>1972</v>
      </c>
      <c r="C16" s="135">
        <v>86.778211876552646</v>
      </c>
    </row>
    <row r="17" spans="2:3">
      <c r="B17" s="257">
        <v>1973</v>
      </c>
      <c r="C17" s="135">
        <v>82.996461547259415</v>
      </c>
    </row>
    <row r="18" spans="2:3">
      <c r="B18" s="257">
        <v>1974</v>
      </c>
      <c r="C18" s="135">
        <v>78.470857567582655</v>
      </c>
    </row>
    <row r="19" spans="2:3">
      <c r="B19" s="257">
        <v>1975</v>
      </c>
      <c r="C19" s="135">
        <v>79.564293721282326</v>
      </c>
    </row>
    <row r="20" spans="2:3">
      <c r="B20" s="257">
        <v>1976</v>
      </c>
      <c r="C20" s="135">
        <v>82.352006210620189</v>
      </c>
    </row>
    <row r="21" spans="2:3">
      <c r="B21" s="257">
        <v>1977</v>
      </c>
      <c r="C21" s="135">
        <v>80.183292305887605</v>
      </c>
    </row>
    <row r="22" spans="2:3">
      <c r="B22" s="257">
        <v>1978</v>
      </c>
      <c r="C22" s="135">
        <v>73.999200030348419</v>
      </c>
    </row>
    <row r="23" spans="2:3">
      <c r="B23" s="257">
        <v>1979</v>
      </c>
      <c r="C23" s="135">
        <v>60.590436960791045</v>
      </c>
    </row>
    <row r="24" spans="2:3">
      <c r="B24" s="257">
        <v>1980</v>
      </c>
      <c r="C24" s="135">
        <v>59.770894202802488</v>
      </c>
    </row>
    <row r="25" spans="2:3">
      <c r="B25" s="257">
        <v>1981</v>
      </c>
      <c r="C25" s="135">
        <v>60.397215349130313</v>
      </c>
    </row>
    <row r="26" spans="2:3">
      <c r="B26" s="257">
        <v>1982</v>
      </c>
      <c r="C26" s="135">
        <v>57.695848464618798</v>
      </c>
    </row>
    <row r="27" spans="2:3">
      <c r="B27" s="257">
        <v>1983</v>
      </c>
      <c r="C27" s="135">
        <v>52.45502335027394</v>
      </c>
    </row>
    <row r="28" spans="2:3">
      <c r="B28" s="257">
        <v>1984</v>
      </c>
      <c r="C28" s="135">
        <v>76.971039554546593</v>
      </c>
    </row>
    <row r="29" spans="2:3">
      <c r="B29" s="257">
        <v>1985</v>
      </c>
      <c r="C29" s="135">
        <v>63.085692275123058</v>
      </c>
    </row>
    <row r="30" spans="2:3">
      <c r="B30" s="257">
        <v>1986</v>
      </c>
      <c r="C30" s="135">
        <v>66.867940665979475</v>
      </c>
    </row>
    <row r="31" spans="2:3">
      <c r="B31" s="257">
        <v>1987</v>
      </c>
      <c r="C31" s="135">
        <v>51.680299415988088</v>
      </c>
    </row>
    <row r="32" spans="2:3">
      <c r="B32" s="257">
        <v>1988</v>
      </c>
      <c r="C32" s="135">
        <v>56.619805914903729</v>
      </c>
    </row>
    <row r="33" spans="2:3">
      <c r="B33" s="257">
        <v>1989</v>
      </c>
      <c r="C33" s="135">
        <v>141.2489302159326</v>
      </c>
    </row>
    <row r="34" spans="2:3">
      <c r="B34" s="257">
        <v>1990</v>
      </c>
      <c r="C34" s="135">
        <v>103.71606254578596</v>
      </c>
    </row>
    <row r="35" spans="2:3">
      <c r="B35" s="257">
        <v>1991</v>
      </c>
      <c r="C35" s="135">
        <v>101.46799593986647</v>
      </c>
    </row>
    <row r="36" spans="2:3">
      <c r="B36" s="257">
        <v>1992</v>
      </c>
      <c r="C36" s="135">
        <v>106.91006645125078</v>
      </c>
    </row>
    <row r="37" spans="2:3">
      <c r="B37" s="257">
        <v>1993</v>
      </c>
      <c r="C37" s="135">
        <v>101.86362891479951</v>
      </c>
    </row>
    <row r="38" spans="2:3">
      <c r="B38" s="257">
        <v>1994</v>
      </c>
      <c r="C38" s="135">
        <v>91.121474023556416</v>
      </c>
    </row>
    <row r="39" spans="2:3">
      <c r="B39" s="257">
        <v>1995</v>
      </c>
      <c r="C39" s="135">
        <v>86.68362797810039</v>
      </c>
    </row>
    <row r="40" spans="2:3">
      <c r="B40" s="257">
        <v>1996</v>
      </c>
      <c r="C40" s="135">
        <v>87.36121222084985</v>
      </c>
    </row>
    <row r="41" spans="2:3">
      <c r="B41" s="257">
        <v>1997</v>
      </c>
      <c r="C41" s="135">
        <v>92.426052001948136</v>
      </c>
    </row>
    <row r="42" spans="2:3">
      <c r="B42" s="257">
        <v>1998</v>
      </c>
      <c r="C42" s="135">
        <v>96.17077917892766</v>
      </c>
    </row>
    <row r="43" spans="2:3">
      <c r="B43" s="257">
        <v>1999</v>
      </c>
      <c r="C43" s="135">
        <v>108.4360719419716</v>
      </c>
    </row>
    <row r="44" spans="2:3">
      <c r="B44" s="257">
        <v>2000</v>
      </c>
      <c r="C44" s="135">
        <v>110.74495949903292</v>
      </c>
    </row>
    <row r="45" spans="2:3">
      <c r="B45" s="257">
        <v>2001</v>
      </c>
      <c r="C45" s="135">
        <v>136.1829647929741</v>
      </c>
    </row>
    <row r="46" spans="2:3">
      <c r="B46" s="257">
        <v>2002</v>
      </c>
      <c r="C46" s="135">
        <v>177.06966848380037</v>
      </c>
    </row>
    <row r="47" spans="2:3">
      <c r="B47" s="257">
        <v>2003</v>
      </c>
      <c r="C47" s="135">
        <v>144.91828345467144</v>
      </c>
    </row>
    <row r="48" spans="2:3">
      <c r="B48" s="257">
        <v>2004</v>
      </c>
      <c r="C48" s="135">
        <v>150.17486013845291</v>
      </c>
    </row>
    <row r="49" spans="2:3">
      <c r="B49" s="257">
        <v>2005</v>
      </c>
      <c r="C49" s="135">
        <v>140.15602760218172</v>
      </c>
    </row>
    <row r="50" spans="2:3">
      <c r="B50" s="257">
        <v>2006</v>
      </c>
      <c r="C50" s="135">
        <v>108.71463360594871</v>
      </c>
    </row>
    <row r="51" spans="2:3">
      <c r="B51" s="257">
        <v>2007</v>
      </c>
      <c r="C51" s="135">
        <v>100.00000000000003</v>
      </c>
    </row>
    <row r="52" spans="2:3">
      <c r="B52" s="257">
        <v>2008</v>
      </c>
      <c r="C52" s="135">
        <v>100.60201003220941</v>
      </c>
    </row>
    <row r="53" spans="2:3">
      <c r="B53" s="257">
        <v>2009</v>
      </c>
      <c r="C53" s="135">
        <v>89.731730918701089</v>
      </c>
    </row>
    <row r="54" spans="2:3">
      <c r="B54" s="257">
        <v>2010</v>
      </c>
      <c r="C54" s="135">
        <v>86.384798335259575</v>
      </c>
    </row>
    <row r="55" spans="2:3">
      <c r="B55" s="257">
        <v>2011</v>
      </c>
      <c r="C55" s="135">
        <v>85.697449590018195</v>
      </c>
    </row>
    <row r="56" spans="2:3">
      <c r="B56" s="257">
        <v>2012</v>
      </c>
      <c r="C56" s="135">
        <v>79.250896267543325</v>
      </c>
    </row>
    <row r="57" spans="2:3">
      <c r="B57" s="257">
        <v>2013</v>
      </c>
      <c r="C57" s="135">
        <v>83.948827762379793</v>
      </c>
    </row>
    <row r="58" spans="2:3">
      <c r="B58" s="257">
        <v>2014</v>
      </c>
      <c r="C58" s="135">
        <v>82.857933992331454</v>
      </c>
    </row>
  </sheetData>
  <hyperlinks>
    <hyperlink ref="A1" location="Índice!A1" display="Índice"/>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tint="-0.249977111117893"/>
  </sheetPr>
  <dimension ref="A1:D58"/>
  <sheetViews>
    <sheetView workbookViewId="0">
      <selection activeCell="C7" sqref="C7"/>
    </sheetView>
  </sheetViews>
  <sheetFormatPr defaultColWidth="11.44140625" defaultRowHeight="10.199999999999999"/>
  <cols>
    <col min="1" max="2" width="11.44140625" style="1"/>
    <col min="3" max="3" width="16.109375" style="1" customWidth="1"/>
    <col min="4" max="16384" width="11.44140625" style="1"/>
  </cols>
  <sheetData>
    <row r="1" spans="1:3" ht="14.4">
      <c r="A1" s="63" t="s">
        <v>166</v>
      </c>
    </row>
    <row r="2" spans="1:3">
      <c r="C2" s="4"/>
    </row>
    <row r="3" spans="1:3">
      <c r="B3" s="7" t="s">
        <v>88</v>
      </c>
      <c r="C3" s="7" t="s">
        <v>15</v>
      </c>
    </row>
    <row r="4" spans="1:3">
      <c r="B4" s="28">
        <v>1960</v>
      </c>
      <c r="C4" s="11">
        <v>1906641</v>
      </c>
    </row>
    <row r="5" spans="1:3">
      <c r="B5" s="28">
        <v>1961</v>
      </c>
      <c r="C5" s="11">
        <v>1957755</v>
      </c>
    </row>
    <row r="6" spans="1:3">
      <c r="B6" s="28">
        <v>1962</v>
      </c>
      <c r="C6" s="11">
        <v>2010466</v>
      </c>
    </row>
    <row r="7" spans="1:3">
      <c r="B7" s="28">
        <v>1963</v>
      </c>
      <c r="C7" s="11">
        <v>2064704</v>
      </c>
    </row>
    <row r="8" spans="1:3">
      <c r="B8" s="28">
        <v>1964</v>
      </c>
      <c r="C8" s="11">
        <v>2120399</v>
      </c>
    </row>
    <row r="9" spans="1:3">
      <c r="B9" s="28">
        <v>1965</v>
      </c>
      <c r="C9" s="11">
        <v>2177482</v>
      </c>
    </row>
    <row r="10" spans="1:3">
      <c r="B10" s="28">
        <v>1966</v>
      </c>
      <c r="C10" s="11">
        <v>2236307</v>
      </c>
    </row>
    <row r="11" spans="1:3">
      <c r="B11" s="28">
        <v>1967</v>
      </c>
      <c r="C11" s="11">
        <v>2296921</v>
      </c>
    </row>
    <row r="12" spans="1:3">
      <c r="B12" s="28">
        <v>1968</v>
      </c>
      <c r="C12" s="11">
        <v>2358792</v>
      </c>
    </row>
    <row r="13" spans="1:3">
      <c r="B13" s="28">
        <v>1969</v>
      </c>
      <c r="C13" s="11">
        <v>2421386</v>
      </c>
    </row>
    <row r="14" spans="1:3">
      <c r="B14" s="28">
        <v>1970</v>
      </c>
      <c r="C14" s="11">
        <v>2484172</v>
      </c>
    </row>
    <row r="15" spans="1:3">
      <c r="B15" s="28">
        <v>1971</v>
      </c>
      <c r="C15" s="11">
        <v>2546201</v>
      </c>
    </row>
    <row r="16" spans="1:3">
      <c r="B16" s="28">
        <v>1972</v>
      </c>
      <c r="C16" s="11">
        <v>2607829</v>
      </c>
    </row>
    <row r="17" spans="2:3">
      <c r="B17" s="28">
        <v>1973</v>
      </c>
      <c r="C17" s="11">
        <v>2670477</v>
      </c>
    </row>
    <row r="18" spans="2:3">
      <c r="B18" s="28">
        <v>1974</v>
      </c>
      <c r="C18" s="11">
        <v>2735567</v>
      </c>
    </row>
    <row r="19" spans="2:3">
      <c r="B19" s="28">
        <v>1975</v>
      </c>
      <c r="C19" s="11">
        <v>2804520</v>
      </c>
    </row>
    <row r="20" spans="2:3">
      <c r="B20" s="28">
        <v>1976</v>
      </c>
      <c r="C20" s="11">
        <v>2876727</v>
      </c>
    </row>
    <row r="21" spans="2:3">
      <c r="B21" s="28">
        <v>1977</v>
      </c>
      <c r="C21" s="11">
        <v>2951240</v>
      </c>
    </row>
    <row r="22" spans="2:3">
      <c r="B22" s="28">
        <v>1978</v>
      </c>
      <c r="C22" s="11">
        <v>3028974</v>
      </c>
    </row>
    <row r="23" spans="2:3">
      <c r="B23" s="28">
        <v>1979</v>
      </c>
      <c r="C23" s="11">
        <v>3110840</v>
      </c>
    </row>
    <row r="24" spans="2:3">
      <c r="B24" s="28">
        <v>1980</v>
      </c>
      <c r="C24" s="11">
        <v>3197754</v>
      </c>
    </row>
    <row r="25" spans="2:3">
      <c r="B25" s="28">
        <v>1981</v>
      </c>
      <c r="C25" s="11">
        <v>3290825</v>
      </c>
    </row>
    <row r="26" spans="2:3">
      <c r="B26" s="28">
        <v>1982</v>
      </c>
      <c r="C26" s="11">
        <v>3389445</v>
      </c>
    </row>
    <row r="27" spans="2:3">
      <c r="B27" s="28">
        <v>1983</v>
      </c>
      <c r="C27" s="11">
        <v>3491947</v>
      </c>
    </row>
    <row r="28" spans="2:3">
      <c r="B28" s="28">
        <v>1984</v>
      </c>
      <c r="C28" s="11">
        <v>3596666</v>
      </c>
    </row>
    <row r="29" spans="2:3">
      <c r="B29" s="28">
        <v>1985</v>
      </c>
      <c r="C29" s="11">
        <v>3701935</v>
      </c>
    </row>
    <row r="30" spans="2:3">
      <c r="B30" s="28">
        <v>1986</v>
      </c>
      <c r="C30" s="11">
        <v>3808330</v>
      </c>
    </row>
    <row r="31" spans="2:3">
      <c r="B31" s="28">
        <v>1987</v>
      </c>
      <c r="C31" s="11">
        <v>3916962</v>
      </c>
    </row>
    <row r="32" spans="2:3">
      <c r="B32" s="28">
        <v>1988</v>
      </c>
      <c r="C32" s="11">
        <v>4026968</v>
      </c>
    </row>
    <row r="33" spans="2:4">
      <c r="B33" s="28">
        <v>1989</v>
      </c>
      <c r="C33" s="11">
        <v>4137484</v>
      </c>
    </row>
    <row r="34" spans="2:4">
      <c r="B34" s="28">
        <v>1990</v>
      </c>
      <c r="C34" s="11">
        <v>4247649</v>
      </c>
    </row>
    <row r="35" spans="2:4">
      <c r="B35" s="28">
        <v>1991</v>
      </c>
      <c r="C35" s="11">
        <v>4357615</v>
      </c>
    </row>
    <row r="36" spans="2:4">
      <c r="B36" s="28">
        <v>1992</v>
      </c>
      <c r="C36" s="11">
        <v>4467958</v>
      </c>
    </row>
    <row r="37" spans="2:4">
      <c r="B37" s="28">
        <v>1993</v>
      </c>
      <c r="C37" s="11">
        <v>4578448</v>
      </c>
    </row>
    <row r="38" spans="2:4">
      <c r="B38" s="28">
        <v>1994</v>
      </c>
      <c r="C38" s="11">
        <v>4688855</v>
      </c>
    </row>
    <row r="39" spans="2:4">
      <c r="B39" s="28">
        <v>1995</v>
      </c>
      <c r="C39" s="11">
        <v>4798950</v>
      </c>
    </row>
    <row r="40" spans="2:4">
      <c r="B40" s="28">
        <v>1996</v>
      </c>
      <c r="C40" s="11">
        <v>4908587</v>
      </c>
    </row>
    <row r="41" spans="2:4">
      <c r="B41" s="28">
        <v>1997</v>
      </c>
      <c r="C41" s="11">
        <v>5017920</v>
      </c>
    </row>
    <row r="42" spans="2:4">
      <c r="B42" s="28">
        <v>1998</v>
      </c>
      <c r="C42" s="11">
        <v>5127167</v>
      </c>
    </row>
    <row r="43" spans="2:4">
      <c r="B43" s="28">
        <v>1999</v>
      </c>
      <c r="C43" s="11">
        <v>5236543</v>
      </c>
    </row>
    <row r="44" spans="2:4">
      <c r="B44" s="28">
        <v>2000</v>
      </c>
      <c r="C44" s="11">
        <v>5346267</v>
      </c>
    </row>
    <row r="45" spans="2:4">
      <c r="B45" s="28">
        <v>2001</v>
      </c>
      <c r="C45" s="11">
        <v>5456418</v>
      </c>
      <c r="D45" s="50"/>
    </row>
    <row r="46" spans="2:4">
      <c r="B46" s="28">
        <v>2002</v>
      </c>
      <c r="C46" s="11">
        <v>5566852</v>
      </c>
    </row>
    <row r="47" spans="2:4">
      <c r="B47" s="28">
        <v>2003</v>
      </c>
      <c r="C47" s="12">
        <v>5618804.6197801</v>
      </c>
      <c r="D47" s="50"/>
    </row>
    <row r="48" spans="2:4">
      <c r="B48" s="28">
        <v>2004</v>
      </c>
      <c r="C48" s="11">
        <v>5701675</v>
      </c>
    </row>
    <row r="49" spans="2:3">
      <c r="B49" s="28">
        <v>2005</v>
      </c>
      <c r="C49" s="11">
        <v>5837253</v>
      </c>
    </row>
    <row r="50" spans="2:3">
      <c r="B50" s="28">
        <v>2006</v>
      </c>
      <c r="C50" s="11">
        <v>5946471</v>
      </c>
    </row>
    <row r="51" spans="2:3">
      <c r="B51" s="28">
        <v>2007</v>
      </c>
      <c r="C51" s="11">
        <v>6054976</v>
      </c>
    </row>
    <row r="52" spans="2:3">
      <c r="B52" s="28">
        <v>2008</v>
      </c>
      <c r="C52" s="11">
        <v>6163913</v>
      </c>
    </row>
    <row r="53" spans="2:3">
      <c r="B53" s="28">
        <v>2009</v>
      </c>
      <c r="C53" s="11">
        <v>6273103</v>
      </c>
    </row>
    <row r="54" spans="2:3">
      <c r="B54" s="28">
        <v>2010</v>
      </c>
      <c r="C54" s="11">
        <v>6381940</v>
      </c>
    </row>
    <row r="55" spans="2:3">
      <c r="B55" s="28">
        <v>2011</v>
      </c>
      <c r="C55" s="11">
        <v>6491714</v>
      </c>
    </row>
    <row r="56" spans="2:3">
      <c r="B56" s="28">
        <v>2012</v>
      </c>
      <c r="C56" s="11">
        <v>6600284</v>
      </c>
    </row>
    <row r="57" spans="2:3">
      <c r="B57" s="28">
        <v>2013</v>
      </c>
      <c r="C57" s="11">
        <v>6709730</v>
      </c>
    </row>
    <row r="58" spans="2:3">
      <c r="B58" s="28">
        <v>2014</v>
      </c>
      <c r="C58" s="11">
        <v>6818180</v>
      </c>
    </row>
  </sheetData>
  <hyperlinks>
    <hyperlink ref="A1" location="Índice!A1" display="Índice"/>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1:AI99"/>
  <sheetViews>
    <sheetView topLeftCell="B61" zoomScale="85" zoomScaleNormal="85" zoomScalePageLayoutView="85" workbookViewId="0">
      <selection activeCell="E76" sqref="E76"/>
    </sheetView>
  </sheetViews>
  <sheetFormatPr defaultColWidth="11.44140625" defaultRowHeight="10.199999999999999"/>
  <cols>
    <col min="1" max="1" width="11.44140625" style="28"/>
    <col min="2" max="2" width="53" style="54" customWidth="1"/>
    <col min="3" max="3" width="38.33203125" style="31" bestFit="1" customWidth="1"/>
    <col min="4" max="4" width="56" style="31" customWidth="1"/>
    <col min="5" max="5" width="68.6640625" style="31" customWidth="1"/>
    <col min="6" max="6" width="55" style="28" customWidth="1"/>
    <col min="7" max="35" width="11.44140625" style="28"/>
    <col min="36" max="16384" width="11.44140625" style="1"/>
  </cols>
  <sheetData>
    <row r="1" spans="1:6" ht="14.4">
      <c r="A1" s="64" t="s">
        <v>166</v>
      </c>
    </row>
    <row r="2" spans="1:6">
      <c r="B2" s="46" t="s">
        <v>130</v>
      </c>
      <c r="C2" s="46" t="s">
        <v>127</v>
      </c>
      <c r="D2" s="46" t="s">
        <v>128</v>
      </c>
      <c r="E2" s="46" t="s">
        <v>148</v>
      </c>
      <c r="F2" s="46" t="s">
        <v>129</v>
      </c>
    </row>
    <row r="3" spans="1:6">
      <c r="B3" s="459" t="s">
        <v>132</v>
      </c>
      <c r="C3" s="459"/>
      <c r="D3" s="459"/>
      <c r="E3" s="459"/>
      <c r="F3" s="459"/>
    </row>
    <row r="4" spans="1:6" ht="15" customHeight="1">
      <c r="B4" s="44" t="s">
        <v>19</v>
      </c>
      <c r="C4" s="455" t="s">
        <v>31</v>
      </c>
      <c r="D4" s="455" t="s">
        <v>140</v>
      </c>
      <c r="E4" s="460" t="s">
        <v>142</v>
      </c>
    </row>
    <row r="5" spans="1:6">
      <c r="B5" s="44" t="s">
        <v>29</v>
      </c>
      <c r="C5" s="455"/>
      <c r="D5" s="455"/>
      <c r="E5" s="460"/>
    </row>
    <row r="6" spans="1:6">
      <c r="B6" s="44" t="s">
        <v>28</v>
      </c>
      <c r="C6" s="455"/>
      <c r="D6" s="455"/>
      <c r="E6" s="460"/>
    </row>
    <row r="7" spans="1:6">
      <c r="B7" s="44" t="s">
        <v>27</v>
      </c>
      <c r="C7" s="455"/>
      <c r="D7" s="455"/>
      <c r="E7" s="460"/>
    </row>
    <row r="8" spans="1:6">
      <c r="B8" s="44" t="s">
        <v>26</v>
      </c>
      <c r="C8" s="455"/>
      <c r="D8" s="455"/>
      <c r="E8" s="460"/>
    </row>
    <row r="9" spans="1:6">
      <c r="B9" s="44" t="s">
        <v>25</v>
      </c>
      <c r="C9" s="455"/>
      <c r="D9" s="455"/>
      <c r="E9" s="460"/>
    </row>
    <row r="10" spans="1:6">
      <c r="B10" s="44" t="s">
        <v>30</v>
      </c>
      <c r="C10" s="455"/>
      <c r="D10" s="455"/>
      <c r="E10" s="460"/>
    </row>
    <row r="11" spans="1:6">
      <c r="B11" s="44" t="s">
        <v>21</v>
      </c>
      <c r="C11" s="455"/>
      <c r="D11" s="455"/>
      <c r="E11" s="460"/>
    </row>
    <row r="12" spans="1:6">
      <c r="B12" s="44" t="s">
        <v>32</v>
      </c>
      <c r="C12" s="455"/>
      <c r="D12" s="455"/>
      <c r="E12" s="460"/>
    </row>
    <row r="13" spans="1:6">
      <c r="B13" s="44" t="s">
        <v>33</v>
      </c>
      <c r="C13" s="455"/>
      <c r="D13" s="455"/>
      <c r="E13" s="460"/>
    </row>
    <row r="14" spans="1:6">
      <c r="B14" s="44" t="s">
        <v>34</v>
      </c>
      <c r="C14" s="455"/>
      <c r="D14" s="455"/>
      <c r="E14" s="460"/>
    </row>
    <row r="15" spans="1:6">
      <c r="B15" s="44" t="s">
        <v>35</v>
      </c>
      <c r="C15" s="455"/>
      <c r="D15" s="455"/>
      <c r="E15" s="460"/>
    </row>
    <row r="16" spans="1:6">
      <c r="B16" s="44" t="s">
        <v>11</v>
      </c>
      <c r="C16" s="455"/>
      <c r="D16" s="455"/>
      <c r="E16" s="460"/>
    </row>
    <row r="17" spans="2:6">
      <c r="B17" s="44" t="s">
        <v>24</v>
      </c>
      <c r="C17" s="455"/>
      <c r="D17" s="455"/>
      <c r="E17" s="460"/>
    </row>
    <row r="18" spans="2:6">
      <c r="B18" s="44" t="s">
        <v>36</v>
      </c>
      <c r="C18" s="455"/>
      <c r="D18" s="455"/>
      <c r="E18" s="460"/>
    </row>
    <row r="19" spans="2:6">
      <c r="B19" s="44" t="s">
        <v>38</v>
      </c>
      <c r="C19" s="455"/>
      <c r="D19" s="455"/>
      <c r="E19" s="460"/>
    </row>
    <row r="20" spans="2:6">
      <c r="B20" s="44" t="s">
        <v>39</v>
      </c>
      <c r="C20" s="455"/>
      <c r="D20" s="455"/>
      <c r="E20" s="460"/>
    </row>
    <row r="21" spans="2:6">
      <c r="B21" s="44" t="s">
        <v>41</v>
      </c>
      <c r="C21" s="455"/>
      <c r="D21" s="455"/>
      <c r="E21" s="460"/>
    </row>
    <row r="22" spans="2:6">
      <c r="B22" s="44" t="s">
        <v>42</v>
      </c>
      <c r="C22" s="455"/>
      <c r="D22" s="455"/>
      <c r="E22" s="460"/>
    </row>
    <row r="23" spans="2:6">
      <c r="B23" s="44" t="s">
        <v>43</v>
      </c>
      <c r="C23" s="455"/>
      <c r="D23" s="455"/>
      <c r="E23" s="460"/>
    </row>
    <row r="24" spans="2:6">
      <c r="B24" s="44" t="s">
        <v>46</v>
      </c>
      <c r="C24" s="455"/>
      <c r="D24" s="455"/>
      <c r="E24" s="460"/>
    </row>
    <row r="25" spans="2:6">
      <c r="B25" s="44" t="s">
        <v>45</v>
      </c>
      <c r="C25" s="455"/>
      <c r="D25" s="455"/>
      <c r="E25" s="460"/>
    </row>
    <row r="26" spans="2:6">
      <c r="B26" s="44" t="s">
        <v>106</v>
      </c>
      <c r="C26" s="455"/>
      <c r="D26" s="455"/>
      <c r="E26" s="460"/>
    </row>
    <row r="27" spans="2:6">
      <c r="B27" s="456" t="s">
        <v>131</v>
      </c>
      <c r="C27" s="456"/>
      <c r="D27" s="456"/>
      <c r="E27" s="456"/>
      <c r="F27" s="456"/>
    </row>
    <row r="28" spans="2:6" ht="15" customHeight="1">
      <c r="B28" s="44" t="s">
        <v>72</v>
      </c>
      <c r="C28" s="455" t="s">
        <v>31</v>
      </c>
      <c r="D28" s="455" t="s">
        <v>140</v>
      </c>
      <c r="E28" s="460" t="s">
        <v>141</v>
      </c>
    </row>
    <row r="29" spans="2:6">
      <c r="B29" s="44" t="s">
        <v>73</v>
      </c>
      <c r="C29" s="455"/>
      <c r="D29" s="455"/>
      <c r="E29" s="460"/>
    </row>
    <row r="30" spans="2:6">
      <c r="B30" s="44" t="s">
        <v>74</v>
      </c>
      <c r="C30" s="455"/>
      <c r="D30" s="455"/>
      <c r="E30" s="460"/>
    </row>
    <row r="31" spans="2:6">
      <c r="B31" s="44" t="s">
        <v>75</v>
      </c>
      <c r="C31" s="455"/>
      <c r="D31" s="455"/>
      <c r="E31" s="460"/>
    </row>
    <row r="32" spans="2:6">
      <c r="B32" s="44" t="s">
        <v>76</v>
      </c>
      <c r="C32" s="455"/>
      <c r="D32" s="455"/>
      <c r="E32" s="460"/>
    </row>
    <row r="33" spans="2:6">
      <c r="B33" s="44" t="s">
        <v>77</v>
      </c>
      <c r="C33" s="455"/>
      <c r="D33" s="455"/>
      <c r="E33" s="460"/>
    </row>
    <row r="34" spans="2:6">
      <c r="B34" s="44" t="s">
        <v>78</v>
      </c>
      <c r="C34" s="455"/>
      <c r="D34" s="455"/>
      <c r="E34" s="460"/>
    </row>
    <row r="35" spans="2:6">
      <c r="B35" s="44" t="s">
        <v>79</v>
      </c>
      <c r="C35" s="455"/>
      <c r="D35" s="455"/>
      <c r="E35" s="460"/>
    </row>
    <row r="36" spans="2:6">
      <c r="B36" s="44" t="s">
        <v>80</v>
      </c>
      <c r="C36" s="455"/>
      <c r="D36" s="455"/>
      <c r="E36" s="460"/>
    </row>
    <row r="37" spans="2:6">
      <c r="B37" s="456" t="s">
        <v>133</v>
      </c>
      <c r="C37" s="456"/>
      <c r="D37" s="456"/>
      <c r="E37" s="456"/>
      <c r="F37" s="456"/>
    </row>
    <row r="38" spans="2:6" ht="15" customHeight="1">
      <c r="B38" s="44" t="s">
        <v>18</v>
      </c>
      <c r="C38" s="455" t="s">
        <v>31</v>
      </c>
      <c r="D38" s="455" t="s">
        <v>140</v>
      </c>
      <c r="E38" s="461" t="s">
        <v>143</v>
      </c>
    </row>
    <row r="39" spans="2:6">
      <c r="B39" s="44" t="s">
        <v>20</v>
      </c>
      <c r="C39" s="455"/>
      <c r="D39" s="455"/>
      <c r="E39" s="461"/>
    </row>
    <row r="40" spans="2:6">
      <c r="B40" s="44" t="s">
        <v>22</v>
      </c>
      <c r="C40" s="455"/>
      <c r="D40" s="455"/>
      <c r="E40" s="461"/>
    </row>
    <row r="41" spans="2:6">
      <c r="B41" s="44" t="s">
        <v>23</v>
      </c>
      <c r="C41" s="455"/>
      <c r="D41" s="455"/>
      <c r="E41" s="461"/>
    </row>
    <row r="42" spans="2:6">
      <c r="B42" s="44" t="s">
        <v>37</v>
      </c>
      <c r="C42" s="455"/>
      <c r="D42" s="455"/>
      <c r="E42" s="461"/>
    </row>
    <row r="43" spans="2:6">
      <c r="B43" s="44" t="s">
        <v>40</v>
      </c>
      <c r="C43" s="455"/>
      <c r="D43" s="455"/>
      <c r="E43" s="461"/>
    </row>
    <row r="44" spans="2:6">
      <c r="B44" s="44" t="s">
        <v>44</v>
      </c>
      <c r="C44" s="455"/>
      <c r="D44" s="455"/>
      <c r="E44" s="461"/>
    </row>
    <row r="45" spans="2:6">
      <c r="B45" s="44" t="s">
        <v>134</v>
      </c>
      <c r="C45" s="455"/>
      <c r="D45" s="455"/>
      <c r="E45" s="461"/>
    </row>
    <row r="46" spans="2:6">
      <c r="B46" s="456" t="s">
        <v>135</v>
      </c>
      <c r="C46" s="456"/>
      <c r="D46" s="456"/>
      <c r="E46" s="456"/>
      <c r="F46" s="456"/>
    </row>
    <row r="47" spans="2:6" ht="15" customHeight="1">
      <c r="B47" s="44" t="s">
        <v>120</v>
      </c>
      <c r="C47" s="455" t="s">
        <v>49</v>
      </c>
      <c r="D47" s="455" t="s">
        <v>139</v>
      </c>
      <c r="E47" s="462" t="s">
        <v>294</v>
      </c>
    </row>
    <row r="48" spans="2:6">
      <c r="B48" s="44" t="s">
        <v>121</v>
      </c>
      <c r="C48" s="455"/>
      <c r="D48" s="455"/>
      <c r="E48" s="462"/>
      <c r="F48" s="18"/>
    </row>
    <row r="49" spans="2:6">
      <c r="B49" s="44" t="s">
        <v>122</v>
      </c>
      <c r="C49" s="455"/>
      <c r="D49" s="455"/>
      <c r="E49" s="462"/>
    </row>
    <row r="50" spans="2:6">
      <c r="B50" s="456" t="s">
        <v>69</v>
      </c>
      <c r="C50" s="456"/>
      <c r="D50" s="456"/>
      <c r="E50" s="456"/>
      <c r="F50" s="456"/>
    </row>
    <row r="51" spans="2:6">
      <c r="B51" s="44" t="s">
        <v>4</v>
      </c>
      <c r="C51" s="33" t="s">
        <v>174</v>
      </c>
      <c r="D51" s="455" t="s">
        <v>139</v>
      </c>
      <c r="E51" s="52" t="s">
        <v>161</v>
      </c>
    </row>
    <row r="52" spans="2:6">
      <c r="B52" s="44" t="s">
        <v>5</v>
      </c>
      <c r="C52" s="33" t="s">
        <v>107</v>
      </c>
      <c r="D52" s="455"/>
      <c r="E52" s="52" t="s">
        <v>8</v>
      </c>
      <c r="F52" s="28" t="s">
        <v>159</v>
      </c>
    </row>
    <row r="53" spans="2:6">
      <c r="B53" s="49" t="s">
        <v>156</v>
      </c>
      <c r="C53" s="33" t="s">
        <v>157</v>
      </c>
      <c r="D53" s="455"/>
      <c r="E53" s="52" t="s">
        <v>10</v>
      </c>
      <c r="F53" s="28" t="s">
        <v>9</v>
      </c>
    </row>
    <row r="54" spans="2:6">
      <c r="B54" s="49" t="s">
        <v>47</v>
      </c>
      <c r="C54" s="33" t="s">
        <v>108</v>
      </c>
      <c r="D54" s="455"/>
      <c r="E54" s="52"/>
    </row>
    <row r="55" spans="2:6">
      <c r="B55" s="456" t="s">
        <v>70</v>
      </c>
      <c r="C55" s="456"/>
      <c r="D55" s="456"/>
      <c r="E55" s="456"/>
      <c r="F55" s="456"/>
    </row>
    <row r="56" spans="2:6" ht="33.75" customHeight="1">
      <c r="B56" s="44" t="s">
        <v>149</v>
      </c>
      <c r="C56" s="33" t="s">
        <v>49</v>
      </c>
      <c r="D56" s="33" t="s">
        <v>139</v>
      </c>
      <c r="E56" s="55" t="s">
        <v>158</v>
      </c>
      <c r="F56" s="33" t="s">
        <v>160</v>
      </c>
    </row>
    <row r="57" spans="2:6" ht="20.399999999999999">
      <c r="B57" s="44" t="s">
        <v>169</v>
      </c>
      <c r="C57" s="33"/>
      <c r="D57" s="68" t="s">
        <v>139</v>
      </c>
      <c r="E57" s="69" t="s">
        <v>172</v>
      </c>
      <c r="F57" s="23" t="s">
        <v>419</v>
      </c>
    </row>
    <row r="58" spans="2:6" ht="14.4">
      <c r="B58" s="44" t="s">
        <v>171</v>
      </c>
      <c r="D58" s="51" t="s">
        <v>139</v>
      </c>
      <c r="E58" s="51" t="s">
        <v>16</v>
      </c>
      <c r="F58" s="23" t="s">
        <v>418</v>
      </c>
    </row>
    <row r="59" spans="2:6">
      <c r="B59" s="456" t="s">
        <v>136</v>
      </c>
      <c r="C59" s="456"/>
      <c r="D59" s="456"/>
      <c r="E59" s="456"/>
      <c r="F59" s="456"/>
    </row>
    <row r="60" spans="2:6">
      <c r="B60" s="44" t="s">
        <v>89</v>
      </c>
      <c r="C60" s="33" t="s">
        <v>31</v>
      </c>
      <c r="D60" s="455" t="s">
        <v>139</v>
      </c>
      <c r="E60" s="458" t="s">
        <v>144</v>
      </c>
    </row>
    <row r="61" spans="2:6">
      <c r="B61" s="44" t="s">
        <v>109</v>
      </c>
      <c r="C61" s="33" t="s">
        <v>31</v>
      </c>
      <c r="D61" s="455"/>
      <c r="E61" s="458"/>
    </row>
    <row r="62" spans="2:6">
      <c r="B62" s="44" t="s">
        <v>6</v>
      </c>
      <c r="C62" s="33" t="s">
        <v>31</v>
      </c>
      <c r="D62" s="455"/>
      <c r="E62" s="458"/>
    </row>
    <row r="63" spans="2:6">
      <c r="B63" s="44" t="s">
        <v>14</v>
      </c>
      <c r="C63" s="33" t="s">
        <v>31</v>
      </c>
      <c r="D63" s="455"/>
      <c r="E63" s="458"/>
    </row>
    <row r="64" spans="2:6">
      <c r="B64" s="44" t="s">
        <v>111</v>
      </c>
      <c r="C64" s="33" t="s">
        <v>31</v>
      </c>
      <c r="D64" s="455"/>
      <c r="E64" s="458"/>
    </row>
    <row r="65" spans="1:35">
      <c r="B65" s="44" t="s">
        <v>123</v>
      </c>
      <c r="C65" s="33" t="s">
        <v>31</v>
      </c>
      <c r="D65" s="455"/>
      <c r="E65" s="458"/>
    </row>
    <row r="66" spans="1:35">
      <c r="B66" s="44" t="s">
        <v>124</v>
      </c>
      <c r="C66" s="33" t="s">
        <v>31</v>
      </c>
      <c r="D66" s="455" t="s">
        <v>139</v>
      </c>
      <c r="E66" s="457" t="s">
        <v>147</v>
      </c>
    </row>
    <row r="67" spans="1:35">
      <c r="B67" s="44" t="s">
        <v>125</v>
      </c>
      <c r="C67" s="33" t="s">
        <v>31</v>
      </c>
      <c r="D67" s="455"/>
      <c r="E67" s="457"/>
    </row>
    <row r="68" spans="1:35" ht="20.399999999999999">
      <c r="B68" s="44" t="s">
        <v>48</v>
      </c>
      <c r="C68" s="33" t="s">
        <v>49</v>
      </c>
      <c r="D68" s="66" t="s">
        <v>139</v>
      </c>
      <c r="E68" s="67" t="s">
        <v>167</v>
      </c>
    </row>
    <row r="69" spans="1:35">
      <c r="B69" s="456" t="s">
        <v>114</v>
      </c>
      <c r="C69" s="456"/>
      <c r="D69" s="456"/>
      <c r="E69" s="456"/>
      <c r="F69" s="456"/>
    </row>
    <row r="70" spans="1:35">
      <c r="B70" s="44" t="s">
        <v>163</v>
      </c>
      <c r="C70" s="33"/>
      <c r="D70" s="72" t="s">
        <v>139</v>
      </c>
      <c r="E70" s="72"/>
      <c r="F70" s="28" t="s">
        <v>162</v>
      </c>
    </row>
    <row r="71" spans="1:35" ht="14.4">
      <c r="B71" s="44" t="s">
        <v>0</v>
      </c>
      <c r="C71" s="33"/>
      <c r="D71" s="51" t="s">
        <v>13</v>
      </c>
      <c r="E71" s="51"/>
    </row>
    <row r="72" spans="1:35">
      <c r="B72" s="456" t="s">
        <v>137</v>
      </c>
      <c r="C72" s="456"/>
      <c r="D72" s="456"/>
      <c r="E72" s="456"/>
      <c r="F72" s="456"/>
    </row>
    <row r="73" spans="1:35" s="53" customFormat="1" ht="20.399999999999999">
      <c r="A73" s="28"/>
      <c r="B73" s="44" t="s">
        <v>15</v>
      </c>
      <c r="C73" s="44"/>
      <c r="D73" s="33" t="s">
        <v>145</v>
      </c>
      <c r="E73" s="55" t="s">
        <v>146</v>
      </c>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row>
    <row r="74" spans="1:35">
      <c r="B74" s="456" t="s">
        <v>152</v>
      </c>
      <c r="C74" s="456"/>
      <c r="D74" s="456"/>
      <c r="E74" s="456"/>
      <c r="F74" s="456"/>
    </row>
    <row r="75" spans="1:35" ht="30.6">
      <c r="B75" s="44" t="s">
        <v>151</v>
      </c>
      <c r="C75" s="33"/>
      <c r="D75" s="33" t="s">
        <v>155</v>
      </c>
      <c r="E75" s="11" t="s">
        <v>153</v>
      </c>
    </row>
    <row r="76" spans="1:35" ht="30.6">
      <c r="B76" s="44" t="s">
        <v>150</v>
      </c>
      <c r="C76" s="33"/>
      <c r="D76" s="33" t="s">
        <v>155</v>
      </c>
      <c r="E76" s="11" t="s">
        <v>154</v>
      </c>
    </row>
    <row r="77" spans="1:35" s="28" customFormat="1">
      <c r="B77" s="18"/>
      <c r="C77" s="33"/>
      <c r="D77" s="29"/>
      <c r="E77" s="29"/>
    </row>
    <row r="78" spans="1:35" s="28" customFormat="1">
      <c r="B78" s="24"/>
      <c r="C78" s="33"/>
      <c r="D78" s="29"/>
      <c r="E78" s="29"/>
    </row>
    <row r="79" spans="1:35" s="28" customFormat="1">
      <c r="B79" s="24"/>
      <c r="C79" s="29"/>
      <c r="D79" s="29"/>
      <c r="E79" s="29"/>
    </row>
    <row r="80" spans="1:35" s="28" customFormat="1">
      <c r="B80" s="24"/>
      <c r="C80" s="29"/>
      <c r="D80" s="29"/>
      <c r="E80" s="29"/>
    </row>
    <row r="81" spans="2:5" s="28" customFormat="1">
      <c r="B81" s="24"/>
      <c r="C81" s="29"/>
      <c r="D81" s="29"/>
      <c r="E81" s="29"/>
    </row>
    <row r="82" spans="2:5" s="28" customFormat="1">
      <c r="B82" s="24"/>
      <c r="C82" s="29"/>
      <c r="D82" s="29"/>
      <c r="E82" s="29"/>
    </row>
    <row r="83" spans="2:5" s="28" customFormat="1">
      <c r="B83" s="24"/>
      <c r="C83" s="29"/>
      <c r="D83" s="29"/>
      <c r="E83" s="29"/>
    </row>
    <row r="84" spans="2:5" s="28" customFormat="1">
      <c r="B84" s="24"/>
      <c r="C84" s="29"/>
      <c r="D84" s="29"/>
      <c r="E84" s="29"/>
    </row>
    <row r="85" spans="2:5" s="28" customFormat="1">
      <c r="B85" s="24"/>
      <c r="C85" s="29"/>
      <c r="D85" s="29"/>
      <c r="E85" s="29"/>
    </row>
    <row r="86" spans="2:5" s="28" customFormat="1">
      <c r="B86" s="24"/>
      <c r="C86" s="29"/>
      <c r="D86" s="29"/>
      <c r="E86" s="29"/>
    </row>
    <row r="87" spans="2:5" s="28" customFormat="1">
      <c r="B87" s="24"/>
      <c r="C87" s="29"/>
      <c r="D87" s="29"/>
      <c r="E87" s="29"/>
    </row>
    <row r="88" spans="2:5" s="28" customFormat="1">
      <c r="B88" s="24"/>
      <c r="C88" s="29"/>
      <c r="D88" s="29"/>
      <c r="E88" s="29"/>
    </row>
    <row r="89" spans="2:5" s="28" customFormat="1">
      <c r="B89" s="24"/>
      <c r="C89" s="29"/>
      <c r="D89" s="29"/>
      <c r="E89" s="29"/>
    </row>
    <row r="90" spans="2:5" s="28" customFormat="1">
      <c r="B90" s="24"/>
      <c r="C90" s="29"/>
      <c r="D90" s="29"/>
      <c r="E90" s="29"/>
    </row>
    <row r="91" spans="2:5" s="28" customFormat="1">
      <c r="B91" s="24"/>
      <c r="C91" s="29"/>
      <c r="D91" s="29"/>
      <c r="E91" s="29"/>
    </row>
    <row r="92" spans="2:5" s="28" customFormat="1">
      <c r="B92" s="24"/>
      <c r="C92" s="29"/>
      <c r="D92" s="29"/>
      <c r="E92" s="29"/>
    </row>
    <row r="93" spans="2:5" s="28" customFormat="1">
      <c r="B93" s="24"/>
      <c r="C93" s="29"/>
      <c r="D93" s="29"/>
      <c r="E93" s="29"/>
    </row>
    <row r="94" spans="2:5" s="28" customFormat="1">
      <c r="B94" s="24"/>
      <c r="C94" s="29"/>
      <c r="D94" s="29"/>
      <c r="E94" s="29"/>
    </row>
    <row r="95" spans="2:5" s="28" customFormat="1">
      <c r="B95" s="24"/>
      <c r="C95" s="29"/>
      <c r="D95" s="29"/>
      <c r="E95" s="29"/>
    </row>
    <row r="96" spans="2:5" s="28" customFormat="1">
      <c r="B96" s="24"/>
      <c r="C96" s="29"/>
      <c r="D96" s="29"/>
      <c r="E96" s="29"/>
    </row>
    <row r="97" spans="2:5" s="28" customFormat="1">
      <c r="B97" s="24"/>
      <c r="C97" s="29"/>
      <c r="D97" s="29"/>
      <c r="E97" s="29"/>
    </row>
    <row r="98" spans="2:5" s="28" customFormat="1">
      <c r="B98" s="24"/>
      <c r="C98" s="29"/>
      <c r="D98" s="29"/>
      <c r="E98" s="29"/>
    </row>
    <row r="99" spans="2:5" s="28" customFormat="1">
      <c r="B99" s="24"/>
      <c r="C99" s="29"/>
      <c r="D99" s="29"/>
      <c r="E99" s="29"/>
    </row>
  </sheetData>
  <mergeCells count="27">
    <mergeCell ref="B3:F3"/>
    <mergeCell ref="B27:F27"/>
    <mergeCell ref="B37:F37"/>
    <mergeCell ref="B46:F46"/>
    <mergeCell ref="B50:F50"/>
    <mergeCell ref="D4:D26"/>
    <mergeCell ref="E4:E26"/>
    <mergeCell ref="D28:D36"/>
    <mergeCell ref="E28:E36"/>
    <mergeCell ref="D38:D45"/>
    <mergeCell ref="E38:E45"/>
    <mergeCell ref="E47:E49"/>
    <mergeCell ref="D47:D49"/>
    <mergeCell ref="B55:F55"/>
    <mergeCell ref="B59:F59"/>
    <mergeCell ref="B69:F69"/>
    <mergeCell ref="B72:F72"/>
    <mergeCell ref="B74:F74"/>
    <mergeCell ref="E66:E67"/>
    <mergeCell ref="D66:D67"/>
    <mergeCell ref="D60:D65"/>
    <mergeCell ref="E60:E65"/>
    <mergeCell ref="D51:D54"/>
    <mergeCell ref="C4:C26"/>
    <mergeCell ref="C28:C36"/>
    <mergeCell ref="C38:C45"/>
    <mergeCell ref="C47:C49"/>
  </mergeCells>
  <hyperlinks>
    <hyperlink ref="A1" location="Índice!A1" display="Índice"/>
  </hyperlink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3">
    <tabColor rgb="FFFF0000"/>
  </sheetPr>
  <dimension ref="A1:Q62"/>
  <sheetViews>
    <sheetView topLeftCell="B1" zoomScale="85" zoomScaleNormal="85" zoomScalePageLayoutView="85" workbookViewId="0">
      <pane xSplit="1" ySplit="3" topLeftCell="C5" activePane="bottomRight" state="frozen"/>
      <selection activeCell="B1" sqref="B1"/>
      <selection pane="topRight" activeCell="C1" sqref="C1"/>
      <selection pane="bottomLeft" activeCell="B4" sqref="B4"/>
      <selection pane="bottomRight" activeCell="A5" sqref="A5"/>
    </sheetView>
  </sheetViews>
  <sheetFormatPr defaultColWidth="11.44140625" defaultRowHeight="15.6"/>
  <cols>
    <col min="1" max="2" width="11.44140625" style="80"/>
    <col min="3" max="16" width="17.44140625" style="80" customWidth="1"/>
    <col min="17" max="16384" width="11.44140625" style="80"/>
  </cols>
  <sheetData>
    <row r="1" spans="1:17">
      <c r="A1" s="79" t="s">
        <v>166</v>
      </c>
    </row>
    <row r="3" spans="1:17" ht="46.8">
      <c r="B3" s="83" t="s">
        <v>88</v>
      </c>
      <c r="C3" s="83" t="s">
        <v>178</v>
      </c>
      <c r="D3" s="83" t="s">
        <v>181</v>
      </c>
      <c r="E3" s="84" t="s">
        <v>179</v>
      </c>
      <c r="F3" s="84" t="s">
        <v>180</v>
      </c>
      <c r="G3" s="83" t="s">
        <v>190</v>
      </c>
      <c r="H3" s="84" t="s">
        <v>186</v>
      </c>
      <c r="I3" s="84" t="s">
        <v>187</v>
      </c>
      <c r="J3" s="84" t="s">
        <v>184</v>
      </c>
      <c r="K3" s="84" t="s">
        <v>185</v>
      </c>
      <c r="L3" s="84" t="s">
        <v>188</v>
      </c>
      <c r="M3" s="83" t="s">
        <v>189</v>
      </c>
      <c r="N3" s="84" t="s">
        <v>186</v>
      </c>
      <c r="O3" s="84" t="s">
        <v>187</v>
      </c>
      <c r="P3" s="84" t="s">
        <v>182</v>
      </c>
      <c r="Q3" s="80" t="s">
        <v>409</v>
      </c>
    </row>
    <row r="4" spans="1:17">
      <c r="B4" s="85">
        <v>1960</v>
      </c>
      <c r="C4" s="82">
        <v>-12.664</v>
      </c>
      <c r="D4" s="82">
        <v>-7.3259999999999996</v>
      </c>
      <c r="E4" s="82">
        <v>36.545999999999999</v>
      </c>
      <c r="F4" s="82">
        <v>43.872</v>
      </c>
      <c r="G4" s="82">
        <v>3.9529999999999998</v>
      </c>
      <c r="H4" s="82">
        <v>2.6890000000000001</v>
      </c>
      <c r="I4" s="82">
        <v>1.264</v>
      </c>
      <c r="J4" s="82" t="s">
        <v>110</v>
      </c>
      <c r="K4" s="82" t="s">
        <v>110</v>
      </c>
      <c r="L4" s="82" t="s">
        <v>110</v>
      </c>
      <c r="M4" s="82">
        <v>6.3109999999999999</v>
      </c>
      <c r="N4" s="82">
        <v>2.04</v>
      </c>
      <c r="O4" s="82">
        <v>4.2709999999999999</v>
      </c>
      <c r="P4" s="82">
        <v>-3.3</v>
      </c>
      <c r="Q4" s="202">
        <f>G4+M4</f>
        <v>10.263999999999999</v>
      </c>
    </row>
    <row r="5" spans="1:17">
      <c r="B5" s="85">
        <v>1961</v>
      </c>
      <c r="C5" s="82">
        <v>-13.159000000000001</v>
      </c>
      <c r="D5" s="82">
        <v>-4.6929999999999996</v>
      </c>
      <c r="E5" s="82">
        <v>43.087000000000003</v>
      </c>
      <c r="F5" s="82">
        <v>47.78</v>
      </c>
      <c r="G5" s="82">
        <v>3.6360000000000001</v>
      </c>
      <c r="H5" s="82">
        <v>1.367</v>
      </c>
      <c r="I5" s="82">
        <v>2.2690000000000001</v>
      </c>
      <c r="J5" s="82" t="s">
        <v>110</v>
      </c>
      <c r="K5" s="82" t="s">
        <v>110</v>
      </c>
      <c r="L5" s="82" t="s">
        <v>110</v>
      </c>
      <c r="M5" s="82">
        <v>5.6740000000000004</v>
      </c>
      <c r="N5" s="82">
        <v>1.335</v>
      </c>
      <c r="O5" s="82">
        <v>4.3390000000000004</v>
      </c>
      <c r="P5" s="82">
        <v>2.8</v>
      </c>
      <c r="Q5" s="202">
        <f t="shared" ref="Q5:Q32" si="0">G5+M5</f>
        <v>9.31</v>
      </c>
    </row>
    <row r="6" spans="1:17">
      <c r="B6" s="85">
        <v>1962</v>
      </c>
      <c r="C6" s="82">
        <v>-9.4629999999999992</v>
      </c>
      <c r="D6" s="82">
        <v>-0.93400000000000005</v>
      </c>
      <c r="E6" s="82">
        <v>39.613999999999997</v>
      </c>
      <c r="F6" s="82">
        <v>40.548000000000002</v>
      </c>
      <c r="G6" s="82">
        <v>4.7789999999999999</v>
      </c>
      <c r="H6" s="82">
        <v>2.5259999999999998</v>
      </c>
      <c r="I6" s="82">
        <v>2.2530000000000001</v>
      </c>
      <c r="J6" s="82" t="s">
        <v>110</v>
      </c>
      <c r="K6" s="82" t="s">
        <v>110</v>
      </c>
      <c r="L6" s="82" t="s">
        <v>110</v>
      </c>
      <c r="M6" s="82">
        <v>0.89500000000000002</v>
      </c>
      <c r="N6" s="82">
        <v>3.5830000000000002</v>
      </c>
      <c r="O6" s="82">
        <v>-1.9350000000000001</v>
      </c>
      <c r="P6" s="82">
        <v>0.753</v>
      </c>
      <c r="Q6" s="202">
        <f t="shared" si="0"/>
        <v>5.6739999999999995</v>
      </c>
    </row>
    <row r="7" spans="1:17">
      <c r="B7" s="85">
        <v>1963</v>
      </c>
      <c r="C7" s="82">
        <v>-8.4749999999999996</v>
      </c>
      <c r="D7" s="82">
        <v>0.63</v>
      </c>
      <c r="E7" s="82">
        <v>38.716000000000001</v>
      </c>
      <c r="F7" s="82">
        <v>38.085999999999999</v>
      </c>
      <c r="G7" s="82">
        <v>1.2070000000000001</v>
      </c>
      <c r="H7" s="82">
        <v>2.637</v>
      </c>
      <c r="I7" s="82">
        <v>-1.43</v>
      </c>
      <c r="J7" s="82" t="s">
        <v>110</v>
      </c>
      <c r="K7" s="82" t="s">
        <v>110</v>
      </c>
      <c r="L7" s="82" t="s">
        <v>110</v>
      </c>
      <c r="M7" s="82">
        <v>2.7370000000000001</v>
      </c>
      <c r="N7" s="82">
        <v>4.3259999999999996</v>
      </c>
      <c r="O7" s="82">
        <v>1.5820000000000001</v>
      </c>
      <c r="P7" s="82">
        <v>2.339</v>
      </c>
      <c r="Q7" s="202">
        <f t="shared" si="0"/>
        <v>3.944</v>
      </c>
    </row>
    <row r="8" spans="1:17">
      <c r="B8" s="85">
        <v>1964</v>
      </c>
      <c r="C8" s="82">
        <v>-12.898</v>
      </c>
      <c r="D8" s="82">
        <v>-5.1999999999999998E-2</v>
      </c>
      <c r="E8" s="82">
        <v>46.218000000000004</v>
      </c>
      <c r="F8" s="82">
        <v>46.27</v>
      </c>
      <c r="G8" s="82">
        <v>7.5529999999999999</v>
      </c>
      <c r="H8" s="82">
        <v>3.7080000000000002</v>
      </c>
      <c r="I8" s="82">
        <v>3.8450000000000002</v>
      </c>
      <c r="J8" s="82" t="s">
        <v>110</v>
      </c>
      <c r="K8" s="82" t="s">
        <v>110</v>
      </c>
      <c r="L8" s="82" t="s">
        <v>110</v>
      </c>
      <c r="M8" s="82">
        <v>5.4279999999999999</v>
      </c>
      <c r="N8" s="82">
        <v>4.2640000000000002</v>
      </c>
      <c r="O8" s="82">
        <v>1.1639999999999999</v>
      </c>
      <c r="P8" s="82">
        <v>3.2629999999999999</v>
      </c>
      <c r="Q8" s="202">
        <f t="shared" si="0"/>
        <v>12.981</v>
      </c>
    </row>
    <row r="9" spans="1:17">
      <c r="B9" s="85">
        <v>1965</v>
      </c>
      <c r="C9" s="82">
        <v>-8.3650000000000002</v>
      </c>
      <c r="D9" s="82">
        <v>6.9809999999999999</v>
      </c>
      <c r="E9" s="82">
        <v>60.012999999999998</v>
      </c>
      <c r="F9" s="82">
        <v>53.031999999999996</v>
      </c>
      <c r="G9" s="82">
        <v>2.57</v>
      </c>
      <c r="H9" s="82">
        <v>3.5139999999999998</v>
      </c>
      <c r="I9" s="82">
        <v>-0.94399999999999995</v>
      </c>
      <c r="J9" s="82" t="s">
        <v>110</v>
      </c>
      <c r="K9" s="82" t="s">
        <v>110</v>
      </c>
      <c r="L9" s="82" t="s">
        <v>110</v>
      </c>
      <c r="M9" s="82">
        <v>10.117000000000001</v>
      </c>
      <c r="N9" s="82">
        <v>6.8769999999999998</v>
      </c>
      <c r="O9" s="82">
        <v>3.24</v>
      </c>
      <c r="P9" s="82">
        <v>6.2229999999999999</v>
      </c>
      <c r="Q9" s="202">
        <f t="shared" si="0"/>
        <v>12.687000000000001</v>
      </c>
    </row>
    <row r="10" spans="1:17">
      <c r="B10" s="85">
        <v>1966</v>
      </c>
      <c r="C10" s="82">
        <v>-17.928000000000001</v>
      </c>
      <c r="D10" s="82">
        <v>-9.6370000000000005</v>
      </c>
      <c r="E10" s="82">
        <v>53.636000000000003</v>
      </c>
      <c r="F10" s="82">
        <v>63.273000000000003</v>
      </c>
      <c r="G10" s="82">
        <v>12.804</v>
      </c>
      <c r="H10" s="82"/>
      <c r="I10" s="82"/>
      <c r="J10" s="82" t="s">
        <v>110</v>
      </c>
      <c r="K10" s="82" t="s">
        <v>110</v>
      </c>
      <c r="L10" s="82" t="s">
        <v>110</v>
      </c>
      <c r="M10" s="82"/>
      <c r="N10" s="82"/>
      <c r="O10" s="82"/>
      <c r="P10" s="82">
        <v>0</v>
      </c>
      <c r="Q10" s="202">
        <f t="shared" si="0"/>
        <v>12.804</v>
      </c>
    </row>
    <row r="11" spans="1:17">
      <c r="B11" s="85">
        <v>1967</v>
      </c>
      <c r="C11" s="82">
        <v>-29.734000000000002</v>
      </c>
      <c r="D11" s="82">
        <v>-11.148999999999999</v>
      </c>
      <c r="E11" s="82">
        <v>50.356000000000002</v>
      </c>
      <c r="F11" s="82">
        <v>61.505000000000003</v>
      </c>
      <c r="G11" s="82">
        <v>13.724</v>
      </c>
      <c r="H11" s="82">
        <v>17.498999999999999</v>
      </c>
      <c r="I11" s="82">
        <v>-3.7749999999999999</v>
      </c>
      <c r="J11" s="82" t="s">
        <v>110</v>
      </c>
      <c r="K11" s="82" t="s">
        <v>110</v>
      </c>
      <c r="L11" s="82" t="s">
        <v>110</v>
      </c>
      <c r="M11" s="82">
        <v>5.31</v>
      </c>
      <c r="N11" s="82">
        <v>6.1050000000000004</v>
      </c>
      <c r="O11" s="82">
        <v>-0.79500000000000004</v>
      </c>
      <c r="P11" s="82">
        <v>-4.2309999999999999</v>
      </c>
      <c r="Q11" s="202">
        <f t="shared" si="0"/>
        <v>19.033999999999999</v>
      </c>
    </row>
    <row r="12" spans="1:17">
      <c r="B12" s="85">
        <v>1968</v>
      </c>
      <c r="C12" s="82">
        <v>-36.295000000000002</v>
      </c>
      <c r="D12" s="82">
        <v>-23.536000000000001</v>
      </c>
      <c r="E12" s="82">
        <v>49.962000000000003</v>
      </c>
      <c r="F12" s="82">
        <v>73.498000000000005</v>
      </c>
      <c r="G12" s="82">
        <v>10.247</v>
      </c>
      <c r="H12" s="82">
        <v>12.038</v>
      </c>
      <c r="I12" s="82">
        <v>-1.7909999999999999</v>
      </c>
      <c r="J12" s="82" t="s">
        <v>110</v>
      </c>
      <c r="K12" s="82" t="s">
        <v>110</v>
      </c>
      <c r="L12" s="82" t="s">
        <v>110</v>
      </c>
      <c r="M12" s="82">
        <v>14.252000000000001</v>
      </c>
      <c r="N12" s="82">
        <v>15.205</v>
      </c>
      <c r="O12" s="82">
        <v>-0.95299999999999996</v>
      </c>
      <c r="P12" s="82">
        <v>-3.2549999999999999</v>
      </c>
      <c r="Q12" s="202">
        <f t="shared" si="0"/>
        <v>24.499000000000002</v>
      </c>
    </row>
    <row r="13" spans="1:17">
      <c r="B13" s="85">
        <v>1969</v>
      </c>
      <c r="C13" s="82">
        <v>-37.97</v>
      </c>
      <c r="D13" s="82">
        <v>-26.047000000000001</v>
      </c>
      <c r="E13" s="82">
        <v>55.155999999999999</v>
      </c>
      <c r="F13" s="82">
        <v>81.203000000000003</v>
      </c>
      <c r="G13" s="82">
        <v>26.312000000000001</v>
      </c>
      <c r="H13" s="82">
        <v>22.696999999999999</v>
      </c>
      <c r="I13" s="82">
        <v>3.516</v>
      </c>
      <c r="J13" s="82" t="s">
        <v>110</v>
      </c>
      <c r="K13" s="82" t="s">
        <v>110</v>
      </c>
      <c r="L13" s="82" t="s">
        <v>110</v>
      </c>
      <c r="M13" s="82">
        <v>9.9179999999999993</v>
      </c>
      <c r="N13" s="82">
        <v>8.952</v>
      </c>
      <c r="O13" s="82">
        <v>0.96599999999999997</v>
      </c>
      <c r="P13" s="82">
        <v>-3.1219999999999999</v>
      </c>
      <c r="Q13" s="202">
        <f t="shared" si="0"/>
        <v>36.230000000000004</v>
      </c>
    </row>
    <row r="14" spans="1:17">
      <c r="B14" s="85">
        <v>1970</v>
      </c>
      <c r="C14" s="82">
        <v>-21.57</v>
      </c>
      <c r="D14" s="82">
        <v>-11.318</v>
      </c>
      <c r="E14" s="82">
        <v>65.269000000000005</v>
      </c>
      <c r="F14" s="82">
        <v>76.587000000000003</v>
      </c>
      <c r="G14" s="82">
        <v>18.015000000000001</v>
      </c>
      <c r="H14" s="82">
        <v>11.686999999999999</v>
      </c>
      <c r="I14" s="82">
        <v>6.3280000000000003</v>
      </c>
      <c r="J14" s="82" t="s">
        <v>110</v>
      </c>
      <c r="K14" s="82" t="s">
        <v>110</v>
      </c>
      <c r="L14" s="82" t="s">
        <v>110</v>
      </c>
      <c r="M14" s="82">
        <v>6.5439999999999996</v>
      </c>
      <c r="N14" s="82">
        <v>7.0810000000000004</v>
      </c>
      <c r="O14" s="82">
        <v>-0.53700000000000003</v>
      </c>
      <c r="P14" s="82">
        <v>5.45</v>
      </c>
      <c r="Q14" s="202">
        <f t="shared" si="0"/>
        <v>24.559000000000001</v>
      </c>
    </row>
    <row r="15" spans="1:17">
      <c r="B15" s="85">
        <v>1971</v>
      </c>
      <c r="C15" s="82">
        <v>-30.065000000000001</v>
      </c>
      <c r="D15" s="82">
        <v>-16.581</v>
      </c>
      <c r="E15" s="82">
        <v>66.453000000000003</v>
      </c>
      <c r="F15" s="82">
        <v>83.034000000000006</v>
      </c>
      <c r="G15" s="82">
        <v>22.664999999999999</v>
      </c>
      <c r="H15" s="82">
        <v>18.731000000000002</v>
      </c>
      <c r="I15" s="82">
        <v>3.9340000000000002</v>
      </c>
      <c r="J15" s="82" t="s">
        <v>110</v>
      </c>
      <c r="K15" s="82" t="s">
        <v>110</v>
      </c>
      <c r="L15" s="82" t="s">
        <v>110</v>
      </c>
      <c r="M15" s="82">
        <v>6.9059999999999997</v>
      </c>
      <c r="N15" s="82">
        <v>7.16</v>
      </c>
      <c r="O15" s="82">
        <v>-0.254</v>
      </c>
      <c r="P15" s="82">
        <v>7.96</v>
      </c>
      <c r="Q15" s="202">
        <f t="shared" si="0"/>
        <v>29.570999999999998</v>
      </c>
    </row>
    <row r="16" spans="1:17">
      <c r="B16" s="85">
        <v>1972</v>
      </c>
      <c r="C16" s="82">
        <v>-11.836</v>
      </c>
      <c r="D16" s="82">
        <v>6.8380000000000001</v>
      </c>
      <c r="E16" s="82">
        <v>85.53</v>
      </c>
      <c r="F16" s="82">
        <v>78.691999999999993</v>
      </c>
      <c r="G16" s="82">
        <v>13.896000000000001</v>
      </c>
      <c r="H16" s="82">
        <v>17.609000000000002</v>
      </c>
      <c r="I16" s="82">
        <v>-3.7130000000000001</v>
      </c>
      <c r="J16" s="82" t="s">
        <v>110</v>
      </c>
      <c r="K16" s="82" t="s">
        <v>110</v>
      </c>
      <c r="L16" s="82" t="s">
        <v>110</v>
      </c>
      <c r="M16" s="82">
        <v>2.7069999999999999</v>
      </c>
      <c r="N16" s="82">
        <v>2.8180000000000001</v>
      </c>
      <c r="O16" s="82">
        <v>-0.111</v>
      </c>
      <c r="P16" s="82">
        <v>11.88</v>
      </c>
      <c r="Q16" s="202">
        <f t="shared" si="0"/>
        <v>16.603000000000002</v>
      </c>
    </row>
    <row r="17" spans="2:17">
      <c r="B17" s="85">
        <v>1973</v>
      </c>
      <c r="C17" s="82">
        <v>-15.699</v>
      </c>
      <c r="D17" s="82">
        <v>0.753</v>
      </c>
      <c r="E17" s="82">
        <v>128.023</v>
      </c>
      <c r="F17" s="82">
        <v>127.27</v>
      </c>
      <c r="G17" s="82">
        <v>34.188000000000002</v>
      </c>
      <c r="H17" s="82">
        <v>24.684999999999999</v>
      </c>
      <c r="I17" s="82">
        <v>9.5030000000000001</v>
      </c>
      <c r="J17" s="82" t="s">
        <v>110</v>
      </c>
      <c r="K17" s="82" t="s">
        <v>110</v>
      </c>
      <c r="L17" s="82" t="s">
        <v>110</v>
      </c>
      <c r="M17" s="82">
        <v>1.849</v>
      </c>
      <c r="N17" s="82">
        <v>4.952</v>
      </c>
      <c r="O17" s="82">
        <v>-3.1030000000000002</v>
      </c>
      <c r="P17" s="82">
        <v>21.17</v>
      </c>
      <c r="Q17" s="202">
        <f t="shared" si="0"/>
        <v>36.036999999999999</v>
      </c>
    </row>
    <row r="18" spans="2:17">
      <c r="B18" s="85">
        <v>1974</v>
      </c>
      <c r="C18" s="82">
        <v>-58.052999999999997</v>
      </c>
      <c r="D18" s="82">
        <v>-25.286999999999999</v>
      </c>
      <c r="E18" s="82">
        <v>172.96199999999999</v>
      </c>
      <c r="F18" s="82">
        <v>198.249</v>
      </c>
      <c r="G18" s="82">
        <v>83.959000000000003</v>
      </c>
      <c r="H18" s="82">
        <v>42.317999999999998</v>
      </c>
      <c r="I18" s="82">
        <v>40.908999999999999</v>
      </c>
      <c r="J18" s="82">
        <v>1.492</v>
      </c>
      <c r="K18" s="82">
        <v>0</v>
      </c>
      <c r="L18" s="82">
        <f>J18+K18</f>
        <v>1.492</v>
      </c>
      <c r="M18" s="82">
        <v>10.5</v>
      </c>
      <c r="N18" s="82">
        <v>10.6</v>
      </c>
      <c r="O18" s="82">
        <v>-0.108</v>
      </c>
      <c r="P18" s="82">
        <v>39.06</v>
      </c>
      <c r="Q18" s="202">
        <f t="shared" si="0"/>
        <v>94.459000000000003</v>
      </c>
    </row>
    <row r="19" spans="2:17">
      <c r="B19" s="85">
        <v>1975</v>
      </c>
      <c r="C19" s="82">
        <v>-103.592</v>
      </c>
      <c r="D19" s="82">
        <v>-50.896999999999998</v>
      </c>
      <c r="E19" s="82">
        <v>176.44499999999999</v>
      </c>
      <c r="F19" s="82">
        <v>227.34200000000001</v>
      </c>
      <c r="G19" s="82">
        <v>100.491</v>
      </c>
      <c r="H19" s="82">
        <v>61.295999999999999</v>
      </c>
      <c r="I19" s="82">
        <v>-5.907</v>
      </c>
      <c r="J19" s="82">
        <v>42.48</v>
      </c>
      <c r="K19" s="82">
        <v>2.6219999999999999</v>
      </c>
      <c r="L19" s="82">
        <f t="shared" ref="L19:L32" si="1">J19+K19</f>
        <v>45.101999999999997</v>
      </c>
      <c r="M19" s="82">
        <v>19.46</v>
      </c>
      <c r="N19" s="82">
        <v>19.46</v>
      </c>
      <c r="O19" s="82">
        <v>0</v>
      </c>
      <c r="P19" s="82">
        <v>31.79</v>
      </c>
      <c r="Q19" s="202">
        <f t="shared" si="0"/>
        <v>119.95099999999999</v>
      </c>
    </row>
    <row r="20" spans="2:17">
      <c r="B20" s="85">
        <v>1976</v>
      </c>
      <c r="C20" s="82">
        <v>-109.432</v>
      </c>
      <c r="D20" s="82">
        <v>-53.957000000000001</v>
      </c>
      <c r="E20" s="82">
        <v>182.33600000000001</v>
      </c>
      <c r="F20" s="82">
        <v>236.29300000000001</v>
      </c>
      <c r="G20" s="82">
        <v>124.994</v>
      </c>
      <c r="H20" s="82">
        <v>55.033000000000001</v>
      </c>
      <c r="I20" s="82">
        <v>-6.7119999999999997</v>
      </c>
      <c r="J20" s="82">
        <v>71.91</v>
      </c>
      <c r="K20" s="82">
        <v>4.7629999999999999</v>
      </c>
      <c r="L20" s="82">
        <f t="shared" si="1"/>
        <v>76.673000000000002</v>
      </c>
      <c r="M20" s="82">
        <v>35.65</v>
      </c>
      <c r="N20" s="82">
        <v>35.866999999999997</v>
      </c>
      <c r="O20" s="82">
        <v>-0.215</v>
      </c>
      <c r="P20" s="82">
        <v>50.85</v>
      </c>
      <c r="Q20" s="202">
        <f t="shared" si="0"/>
        <v>160.64400000000001</v>
      </c>
    </row>
    <row r="21" spans="2:17">
      <c r="B21" s="85">
        <v>1977</v>
      </c>
      <c r="C21" s="88">
        <v>-134.65899999999999</v>
      </c>
      <c r="D21" s="82">
        <v>-80.69</v>
      </c>
      <c r="E21" s="82">
        <v>279.38499999999999</v>
      </c>
      <c r="F21" s="82">
        <v>360.07499999999999</v>
      </c>
      <c r="G21" s="82">
        <v>227.57599999999999</v>
      </c>
      <c r="H21" s="82">
        <v>54.621000000000002</v>
      </c>
      <c r="I21" s="82">
        <v>23.928999999999998</v>
      </c>
      <c r="J21" s="82">
        <v>142.9</v>
      </c>
      <c r="K21" s="82">
        <v>6.0759999999999996</v>
      </c>
      <c r="L21" s="82">
        <f t="shared" si="1"/>
        <v>148.976</v>
      </c>
      <c r="M21" s="82">
        <v>30.509</v>
      </c>
      <c r="N21" s="82">
        <v>30.7</v>
      </c>
      <c r="O21" s="82">
        <v>-0.191</v>
      </c>
      <c r="P21" s="82">
        <v>106.35</v>
      </c>
      <c r="Q21" s="202">
        <f t="shared" si="0"/>
        <v>258.08499999999998</v>
      </c>
    </row>
    <row r="22" spans="2:17">
      <c r="B22" s="85">
        <v>1978</v>
      </c>
      <c r="C22" s="82">
        <v>-118.63800000000001</v>
      </c>
      <c r="D22" s="82">
        <v>-150.53899999999999</v>
      </c>
      <c r="E22" s="82">
        <v>281.45400000000001</v>
      </c>
      <c r="F22" s="82">
        <v>431.99299999999999</v>
      </c>
      <c r="G22" s="82">
        <v>328</v>
      </c>
      <c r="H22" s="82">
        <v>121</v>
      </c>
      <c r="I22" s="82">
        <v>-14</v>
      </c>
      <c r="J22" s="82">
        <v>198.95599999999999</v>
      </c>
      <c r="K22" s="82">
        <v>23</v>
      </c>
      <c r="L22" s="82">
        <f t="shared" si="1"/>
        <v>221.95599999999999</v>
      </c>
      <c r="M22" s="82">
        <v>55.820999999999998</v>
      </c>
      <c r="N22" s="82">
        <f>55.821-5.008</f>
        <v>50.812999999999995</v>
      </c>
      <c r="O22" s="82">
        <v>5.008</v>
      </c>
      <c r="P22" s="82">
        <v>169.04</v>
      </c>
      <c r="Q22" s="202">
        <f t="shared" si="0"/>
        <v>383.82100000000003</v>
      </c>
    </row>
    <row r="23" spans="2:17">
      <c r="B23" s="85">
        <v>1979</v>
      </c>
      <c r="C23" s="82">
        <v>-213.37200000000001</v>
      </c>
      <c r="D23" s="82">
        <v>-192.624</v>
      </c>
      <c r="E23" s="82">
        <v>384.51100000000002</v>
      </c>
      <c r="F23" s="82">
        <v>577.13499999999999</v>
      </c>
      <c r="G23" s="82">
        <v>343.83</v>
      </c>
      <c r="H23" s="82">
        <v>126</v>
      </c>
      <c r="I23" s="82">
        <v>69.558000000000007</v>
      </c>
      <c r="J23" s="82">
        <v>116</v>
      </c>
      <c r="K23" s="82">
        <f>32.627+0.364</f>
        <v>32.991</v>
      </c>
      <c r="L23" s="82">
        <f t="shared" si="1"/>
        <v>148.99099999999999</v>
      </c>
      <c r="M23" s="82">
        <v>9.6809999999999992</v>
      </c>
      <c r="N23" s="82">
        <v>9.6809999999999992</v>
      </c>
      <c r="O23" s="82">
        <v>0</v>
      </c>
      <c r="P23" s="82">
        <v>166.56</v>
      </c>
      <c r="Q23" s="202">
        <f t="shared" si="0"/>
        <v>353.51099999999997</v>
      </c>
    </row>
    <row r="24" spans="2:17">
      <c r="B24" s="85">
        <v>1980</v>
      </c>
      <c r="C24" s="82">
        <v>-286.714</v>
      </c>
      <c r="D24" s="82">
        <v>-275.04000000000002</v>
      </c>
      <c r="E24" s="82">
        <v>400.28199999999998</v>
      </c>
      <c r="F24" s="82">
        <v>675.322</v>
      </c>
      <c r="G24" s="88">
        <v>378.62</v>
      </c>
      <c r="H24" s="88">
        <v>92.787999999999997</v>
      </c>
      <c r="I24" s="88">
        <v>68.992000000000004</v>
      </c>
      <c r="J24" s="88">
        <f>7.2+138.3</f>
        <v>145.5</v>
      </c>
      <c r="K24" s="82">
        <f>64.3+7</f>
        <v>71.3</v>
      </c>
      <c r="L24" s="82">
        <f t="shared" si="1"/>
        <v>216.8</v>
      </c>
      <c r="M24" s="82">
        <v>85.078999999999994</v>
      </c>
      <c r="N24" s="82">
        <v>85.078999999999994</v>
      </c>
      <c r="O24" s="82">
        <v>0</v>
      </c>
      <c r="P24" s="82">
        <v>167.4</v>
      </c>
      <c r="Q24" s="202">
        <f t="shared" si="0"/>
        <v>463.69900000000001</v>
      </c>
    </row>
    <row r="25" spans="2:17">
      <c r="B25" s="85">
        <v>1981</v>
      </c>
      <c r="C25" s="82">
        <v>-380.27699999999999</v>
      </c>
      <c r="D25" s="82">
        <v>-373.92399999999998</v>
      </c>
      <c r="E25" s="82">
        <v>398.48599999999999</v>
      </c>
      <c r="F25" s="82">
        <v>772.41</v>
      </c>
      <c r="G25" s="88">
        <v>393.30500000000001</v>
      </c>
      <c r="H25" s="88">
        <v>116.4</v>
      </c>
      <c r="I25" s="88">
        <v>39.799999999999997</v>
      </c>
      <c r="J25" s="88">
        <f>148.9+10</f>
        <v>158.9</v>
      </c>
      <c r="K25" s="82">
        <f>2.4+75.5</f>
        <v>77.900000000000006</v>
      </c>
      <c r="L25" s="82">
        <f t="shared" si="1"/>
        <v>236.8</v>
      </c>
      <c r="M25" s="82">
        <v>39.341999999999999</v>
      </c>
      <c r="N25" s="82">
        <v>39.341999999999999</v>
      </c>
      <c r="O25" s="82">
        <v>0</v>
      </c>
      <c r="P25" s="82">
        <v>45.17</v>
      </c>
      <c r="Q25" s="202">
        <f t="shared" si="0"/>
        <v>432.64699999999999</v>
      </c>
    </row>
    <row r="26" spans="2:17">
      <c r="B26" s="85">
        <v>1982</v>
      </c>
      <c r="C26" s="82">
        <v>-392.80500000000001</v>
      </c>
      <c r="D26" s="82">
        <v>-315.08699999999999</v>
      </c>
      <c r="E26" s="82">
        <v>396.17700000000002</v>
      </c>
      <c r="F26" s="82">
        <v>711.26400000000001</v>
      </c>
      <c r="G26" s="88">
        <v>267.33499999999998</v>
      </c>
      <c r="H26" s="88">
        <v>193.9</v>
      </c>
      <c r="I26" s="88">
        <v>-98.2</v>
      </c>
      <c r="J26" s="88">
        <f>136.5+10.2</f>
        <v>146.69999999999999</v>
      </c>
      <c r="K26" s="82">
        <f>24.2+0.629</f>
        <v>24.829000000000001</v>
      </c>
      <c r="L26" s="82">
        <f t="shared" si="1"/>
        <v>171.529</v>
      </c>
      <c r="M26" s="82">
        <v>60.558</v>
      </c>
      <c r="N26" s="82">
        <v>60.558</v>
      </c>
      <c r="O26" s="82">
        <v>0</v>
      </c>
      <c r="P26" s="88">
        <v>-71.5</v>
      </c>
      <c r="Q26" s="202">
        <f t="shared" si="0"/>
        <v>327.89299999999997</v>
      </c>
    </row>
    <row r="27" spans="2:17">
      <c r="B27" s="85">
        <v>1983</v>
      </c>
      <c r="C27" s="82">
        <v>-253.584</v>
      </c>
      <c r="D27" s="82">
        <v>-253.858</v>
      </c>
      <c r="E27" s="82">
        <v>297.56400000000002</v>
      </c>
      <c r="F27" s="82">
        <v>551.42200000000003</v>
      </c>
      <c r="G27" s="88">
        <v>77.724000000000004</v>
      </c>
      <c r="H27" s="88">
        <v>147.69999999999999</v>
      </c>
      <c r="I27" s="88">
        <v>-185</v>
      </c>
      <c r="J27" s="88">
        <f>2.6+96.2</f>
        <v>98.8</v>
      </c>
      <c r="K27" s="82">
        <f>17.2+0.094</f>
        <v>17.294</v>
      </c>
      <c r="L27" s="82">
        <f t="shared" si="1"/>
        <v>116.09399999999999</v>
      </c>
      <c r="M27" s="82">
        <v>138.66900000000001</v>
      </c>
      <c r="N27" s="82">
        <v>138.66900000000001</v>
      </c>
      <c r="O27" s="82">
        <v>0</v>
      </c>
      <c r="P27" s="82">
        <v>-39.520000000000003</v>
      </c>
      <c r="Q27" s="202">
        <f t="shared" si="0"/>
        <v>216.39300000000003</v>
      </c>
    </row>
    <row r="28" spans="2:17">
      <c r="B28" s="85">
        <v>1984</v>
      </c>
      <c r="C28" s="82">
        <v>-322.47899999999998</v>
      </c>
      <c r="D28" s="82">
        <v>-201.95699999999999</v>
      </c>
      <c r="E28" s="82">
        <v>538.26599999999996</v>
      </c>
      <c r="F28" s="82">
        <v>740.22299999999996</v>
      </c>
      <c r="G28" s="88">
        <v>67.17</v>
      </c>
      <c r="H28" s="88">
        <v>83.35</v>
      </c>
      <c r="I28" s="88">
        <v>-110.6</v>
      </c>
      <c r="J28" s="88">
        <f>4.5+65.2</f>
        <v>69.7</v>
      </c>
      <c r="K28" s="82">
        <f>24.4+0.3</f>
        <v>24.7</v>
      </c>
      <c r="L28" s="82">
        <f t="shared" si="1"/>
        <v>94.4</v>
      </c>
      <c r="M28" s="82">
        <v>127.029</v>
      </c>
      <c r="N28" s="82">
        <v>127.029</v>
      </c>
      <c r="O28" s="82">
        <v>0</v>
      </c>
      <c r="P28" s="82">
        <v>-95.5</v>
      </c>
      <c r="Q28" s="202">
        <f t="shared" si="0"/>
        <v>194.19900000000001</v>
      </c>
    </row>
    <row r="29" spans="2:17">
      <c r="B29" s="85">
        <v>1985</v>
      </c>
      <c r="C29" s="82">
        <v>-185.39400000000001</v>
      </c>
      <c r="D29" s="82">
        <v>-107.06100000000001</v>
      </c>
      <c r="E29" s="82">
        <v>620.24800000000005</v>
      </c>
      <c r="F29" s="82">
        <v>727.30899999999997</v>
      </c>
      <c r="G29" s="88">
        <v>-2.2410000000000001</v>
      </c>
      <c r="H29" s="88">
        <v>11.5</v>
      </c>
      <c r="I29" s="88">
        <v>-65.400000000000006</v>
      </c>
      <c r="J29" s="88">
        <f>36.8+0.1</f>
        <v>36.9</v>
      </c>
      <c r="K29" s="82">
        <f>14.2+0.56</f>
        <v>14.76</v>
      </c>
      <c r="L29" s="82">
        <f t="shared" si="1"/>
        <v>51.66</v>
      </c>
      <c r="M29" s="82">
        <v>108.755</v>
      </c>
      <c r="N29" s="82">
        <v>108.755</v>
      </c>
      <c r="O29" s="82">
        <v>0</v>
      </c>
      <c r="P29" s="82">
        <v>-88.68</v>
      </c>
      <c r="Q29" s="202">
        <f t="shared" si="0"/>
        <v>106.514</v>
      </c>
    </row>
    <row r="30" spans="2:17">
      <c r="B30" s="85">
        <v>1986</v>
      </c>
      <c r="C30" s="82">
        <v>-369.97300000000001</v>
      </c>
      <c r="D30" s="82">
        <v>-162.43700000000001</v>
      </c>
      <c r="E30" s="82">
        <v>573.423</v>
      </c>
      <c r="F30" s="82">
        <v>735.86</v>
      </c>
      <c r="G30" s="82">
        <v>-129.934</v>
      </c>
      <c r="H30" s="82">
        <v>73.552000000000007</v>
      </c>
      <c r="I30" s="82">
        <v>9.66</v>
      </c>
      <c r="J30" s="82">
        <f>(27384+18)/1000</f>
        <v>27.402000000000001</v>
      </c>
      <c r="K30" s="82">
        <f>(17884+536)/1000</f>
        <v>18.420000000000002</v>
      </c>
      <c r="L30" s="82">
        <f t="shared" si="1"/>
        <v>45.822000000000003</v>
      </c>
      <c r="M30" s="82">
        <v>136.93799999999999</v>
      </c>
      <c r="N30" s="82">
        <v>136.93799999999999</v>
      </c>
      <c r="O30" s="82">
        <v>0</v>
      </c>
      <c r="P30" s="82">
        <v>-90.075000000000003</v>
      </c>
      <c r="Q30" s="202">
        <f t="shared" si="0"/>
        <v>7.0039999999999907</v>
      </c>
    </row>
    <row r="31" spans="2:17">
      <c r="B31" s="85">
        <v>1987</v>
      </c>
      <c r="C31" s="82">
        <v>-160.37100000000001</v>
      </c>
      <c r="D31" s="82">
        <v>-97.21</v>
      </c>
      <c r="E31" s="82">
        <v>951.673</v>
      </c>
      <c r="F31" s="82">
        <v>1048.883</v>
      </c>
      <c r="G31" s="82">
        <v>190.06899999999999</v>
      </c>
      <c r="H31" s="82">
        <v>33.906999999999996</v>
      </c>
      <c r="I31" s="82">
        <v>85.197000000000003</v>
      </c>
      <c r="J31" s="82">
        <v>30.013000000000002</v>
      </c>
      <c r="K31" s="82">
        <f>(35644+5308)/1000</f>
        <v>40.951999999999998</v>
      </c>
      <c r="L31" s="82">
        <f t="shared" si="1"/>
        <v>70.965000000000003</v>
      </c>
      <c r="M31" s="82">
        <v>-18.884</v>
      </c>
      <c r="N31" s="82">
        <v>-18.884</v>
      </c>
      <c r="O31" s="82">
        <v>0</v>
      </c>
      <c r="P31" s="82">
        <v>53.19</v>
      </c>
      <c r="Q31" s="202">
        <f t="shared" si="0"/>
        <v>171.185</v>
      </c>
    </row>
    <row r="32" spans="2:17">
      <c r="B32" s="85">
        <v>1988</v>
      </c>
      <c r="C32" s="82">
        <v>-160.10900000000001</v>
      </c>
      <c r="D32" s="82">
        <v>68.745999999999995</v>
      </c>
      <c r="E32" s="82">
        <v>1098.0840000000001</v>
      </c>
      <c r="F32" s="82">
        <v>1029.338</v>
      </c>
      <c r="G32" s="82">
        <v>-18.489000000000001</v>
      </c>
      <c r="H32" s="82">
        <v>-29.954000000000001</v>
      </c>
      <c r="I32" s="82">
        <v>52.534999999999997</v>
      </c>
      <c r="J32" s="82">
        <v>24</v>
      </c>
      <c r="K32" s="82">
        <f>(5000+35000)/1000</f>
        <v>40</v>
      </c>
      <c r="L32" s="82">
        <f t="shared" si="1"/>
        <v>64</v>
      </c>
      <c r="M32" s="82">
        <v>-3.0550000000000002</v>
      </c>
      <c r="N32" s="82">
        <v>-3.0550000000000002</v>
      </c>
      <c r="O32" s="82">
        <v>0</v>
      </c>
      <c r="P32" s="82">
        <v>-135.30000000000001</v>
      </c>
      <c r="Q32" s="202">
        <f t="shared" si="0"/>
        <v>-21.544</v>
      </c>
    </row>
    <row r="33" spans="2:17">
      <c r="B33" s="85">
        <v>1989</v>
      </c>
      <c r="C33" s="82">
        <v>-82.5</v>
      </c>
      <c r="D33" s="82"/>
      <c r="E33" s="82"/>
      <c r="F33" s="82"/>
      <c r="G33" s="82">
        <v>114.4</v>
      </c>
      <c r="H33" s="82"/>
      <c r="I33" s="82"/>
      <c r="J33" s="82"/>
      <c r="K33" s="82"/>
      <c r="L33" s="82"/>
      <c r="M33" s="87"/>
      <c r="N33" s="87"/>
      <c r="O33" s="87"/>
      <c r="P33" s="82"/>
      <c r="Q33" s="202"/>
    </row>
    <row r="34" spans="2:17">
      <c r="B34" s="85">
        <v>1990</v>
      </c>
      <c r="C34" s="82">
        <v>-208.8</v>
      </c>
      <c r="D34" s="82"/>
      <c r="E34" s="82"/>
      <c r="F34" s="82"/>
      <c r="G34" s="82"/>
      <c r="H34" s="82"/>
      <c r="I34" s="82"/>
      <c r="J34" s="82"/>
      <c r="K34" s="82"/>
      <c r="L34" s="82"/>
      <c r="M34" s="87"/>
      <c r="N34" s="87"/>
      <c r="O34" s="87"/>
      <c r="P34" s="82"/>
      <c r="Q34" s="202"/>
    </row>
    <row r="35" spans="2:17">
      <c r="B35" s="85">
        <v>1991</v>
      </c>
      <c r="C35" s="89">
        <v>-455.9</v>
      </c>
      <c r="D35" s="82"/>
      <c r="E35" s="82"/>
      <c r="F35" s="82"/>
      <c r="G35" s="82"/>
      <c r="H35" s="82"/>
      <c r="I35" s="82"/>
      <c r="J35" s="82"/>
      <c r="K35" s="82"/>
      <c r="L35" s="82"/>
      <c r="M35" s="87"/>
      <c r="N35" s="87"/>
      <c r="O35" s="87"/>
      <c r="P35" s="82"/>
      <c r="Q35" s="202"/>
    </row>
    <row r="36" spans="2:17">
      <c r="B36" s="85">
        <v>1992</v>
      </c>
      <c r="C36" s="89">
        <v>-389.9</v>
      </c>
      <c r="D36" s="82"/>
      <c r="E36" s="82"/>
      <c r="F36" s="82"/>
      <c r="G36" s="82"/>
      <c r="H36" s="82"/>
      <c r="I36" s="82"/>
      <c r="J36" s="82"/>
      <c r="K36" s="82"/>
      <c r="L36" s="82"/>
      <c r="M36" s="87"/>
      <c r="N36" s="87"/>
      <c r="O36" s="87"/>
      <c r="P36" s="82"/>
      <c r="Q36" s="202"/>
    </row>
    <row r="37" spans="2:17">
      <c r="B37" s="85">
        <v>1993</v>
      </c>
      <c r="C37" s="89">
        <v>-834</v>
      </c>
      <c r="D37" s="82"/>
      <c r="E37" s="82"/>
      <c r="F37" s="82"/>
      <c r="G37" s="82"/>
      <c r="H37" s="82"/>
      <c r="I37" s="82"/>
      <c r="J37" s="82"/>
      <c r="K37" s="82"/>
      <c r="L37" s="82"/>
      <c r="M37" s="87"/>
      <c r="N37" s="87"/>
      <c r="O37" s="87"/>
      <c r="P37" s="82"/>
      <c r="Q37" s="202"/>
    </row>
    <row r="38" spans="2:17">
      <c r="B38" s="90">
        <v>1994</v>
      </c>
      <c r="C38" s="91">
        <v>-1060</v>
      </c>
      <c r="D38" s="82"/>
      <c r="E38" s="82"/>
      <c r="F38" s="82"/>
      <c r="G38" s="82"/>
      <c r="H38" s="82"/>
      <c r="I38" s="82"/>
      <c r="J38" s="82"/>
      <c r="K38" s="82"/>
      <c r="L38" s="82"/>
      <c r="M38" s="87"/>
      <c r="N38" s="87"/>
      <c r="O38" s="87"/>
      <c r="P38" s="82"/>
      <c r="Q38" s="202"/>
    </row>
    <row r="39" spans="2:17">
      <c r="B39" s="90">
        <v>1995</v>
      </c>
      <c r="C39" s="91">
        <v>-92.3392565664183</v>
      </c>
      <c r="D39" s="82">
        <v>-270.43925656641841</v>
      </c>
      <c r="E39" s="82">
        <v>4218.5981724335816</v>
      </c>
      <c r="F39" s="82">
        <v>4489.037429</v>
      </c>
      <c r="G39" s="82"/>
      <c r="H39" s="82"/>
      <c r="I39" s="82"/>
      <c r="J39" s="82"/>
      <c r="K39" s="82"/>
      <c r="L39" s="82"/>
      <c r="M39" s="87"/>
      <c r="N39" s="87"/>
      <c r="O39" s="87"/>
      <c r="P39" s="82"/>
      <c r="Q39" s="202"/>
    </row>
    <row r="40" spans="2:17">
      <c r="B40" s="85">
        <v>1996</v>
      </c>
      <c r="C40" s="82">
        <v>-352.91875185072956</v>
      </c>
      <c r="D40" s="82">
        <v>-586.51875185072959</v>
      </c>
      <c r="E40" s="82">
        <v>3796.9038881492702</v>
      </c>
      <c r="F40" s="82">
        <v>4383.4226399999998</v>
      </c>
      <c r="G40" s="82"/>
      <c r="H40" s="82"/>
      <c r="I40" s="82"/>
      <c r="J40" s="82"/>
      <c r="K40" s="82"/>
      <c r="L40" s="82"/>
      <c r="M40" s="87"/>
      <c r="N40" s="87"/>
      <c r="O40" s="87"/>
      <c r="P40" s="82"/>
      <c r="Q40" s="202"/>
    </row>
    <row r="41" spans="2:17">
      <c r="B41" s="85">
        <v>1997</v>
      </c>
      <c r="C41" s="82">
        <v>-650.44050026709522</v>
      </c>
      <c r="D41" s="82">
        <v>-864.89950026709539</v>
      </c>
      <c r="E41" s="82">
        <v>3327.5104997329045</v>
      </c>
      <c r="F41" s="82">
        <v>4192.41</v>
      </c>
      <c r="G41" s="82"/>
      <c r="H41" s="82"/>
      <c r="I41" s="82"/>
      <c r="J41" s="82"/>
      <c r="K41" s="82"/>
      <c r="L41" s="82"/>
      <c r="M41" s="87"/>
      <c r="N41" s="87"/>
      <c r="O41" s="87"/>
      <c r="P41" s="82"/>
      <c r="Q41" s="202"/>
    </row>
    <row r="42" spans="2:17">
      <c r="B42" s="85">
        <v>1998</v>
      </c>
      <c r="C42" s="82">
        <v>-159.95139988186881</v>
      </c>
      <c r="D42" s="82">
        <v>-392.85139988186893</v>
      </c>
      <c r="E42" s="82">
        <v>3548.6486001181311</v>
      </c>
      <c r="F42" s="82">
        <v>3941.5</v>
      </c>
      <c r="G42" s="82"/>
      <c r="H42" s="82"/>
      <c r="I42" s="82"/>
      <c r="J42" s="82"/>
      <c r="K42" s="82"/>
      <c r="L42" s="82"/>
      <c r="M42" s="87"/>
      <c r="N42" s="87"/>
      <c r="O42" s="87"/>
      <c r="P42" s="82"/>
      <c r="Q42" s="202"/>
    </row>
    <row r="43" spans="2:17">
      <c r="B43" s="85">
        <v>1999</v>
      </c>
      <c r="C43" s="82">
        <v>-165.39999999999949</v>
      </c>
      <c r="D43" s="82">
        <v>-440.49999999999955</v>
      </c>
      <c r="E43" s="82">
        <v>2312.4</v>
      </c>
      <c r="F43" s="82">
        <v>2752.9</v>
      </c>
      <c r="G43" s="82"/>
      <c r="H43" s="82"/>
      <c r="I43" s="82"/>
      <c r="J43" s="82"/>
      <c r="K43" s="82"/>
      <c r="L43" s="82"/>
      <c r="M43" s="87"/>
      <c r="N43" s="87"/>
      <c r="O43" s="87"/>
      <c r="P43" s="82"/>
      <c r="Q43" s="202"/>
    </row>
    <row r="44" spans="2:17">
      <c r="B44" s="85">
        <v>2000</v>
      </c>
      <c r="C44" s="82">
        <v>-162.82800000000003</v>
      </c>
      <c r="D44" s="82">
        <v>-537.15000000000009</v>
      </c>
      <c r="E44" s="82">
        <v>2328.9499999999998</v>
      </c>
      <c r="F44" s="82">
        <v>2866.1</v>
      </c>
      <c r="G44" s="82"/>
      <c r="H44" s="82"/>
      <c r="I44" s="82"/>
      <c r="J44" s="82"/>
      <c r="K44" s="82"/>
      <c r="L44" s="82"/>
      <c r="M44" s="87"/>
      <c r="N44" s="87"/>
      <c r="O44" s="87"/>
      <c r="P44" s="82"/>
      <c r="Q44" s="202"/>
    </row>
    <row r="45" spans="2:17">
      <c r="B45" s="85">
        <v>2001</v>
      </c>
      <c r="C45" s="82">
        <v>-266.35999999999956</v>
      </c>
      <c r="D45" s="82">
        <v>-613.89999999999964</v>
      </c>
      <c r="E45" s="82">
        <v>1889.7</v>
      </c>
      <c r="F45" s="82">
        <v>2503.6</v>
      </c>
      <c r="G45" s="82"/>
      <c r="H45" s="82"/>
      <c r="I45" s="82"/>
      <c r="J45" s="82"/>
      <c r="K45" s="82"/>
      <c r="L45" s="82"/>
      <c r="M45" s="87"/>
      <c r="N45" s="87"/>
      <c r="O45" s="87"/>
      <c r="P45" s="82"/>
      <c r="Q45" s="202"/>
    </row>
    <row r="46" spans="2:17">
      <c r="B46" s="85">
        <v>2002</v>
      </c>
      <c r="C46" s="82">
        <v>92.600228740581798</v>
      </c>
      <c r="D46" s="82">
        <v>-279.89999999999941</v>
      </c>
      <c r="E46" s="82">
        <v>1857.9749999999999</v>
      </c>
      <c r="F46" s="82">
        <v>2137.875</v>
      </c>
      <c r="G46" s="82"/>
      <c r="H46" s="82"/>
      <c r="I46" s="82"/>
      <c r="J46" s="82"/>
      <c r="K46" s="82"/>
      <c r="L46" s="82"/>
      <c r="M46" s="87"/>
      <c r="N46" s="87"/>
      <c r="O46" s="87"/>
      <c r="P46" s="82"/>
      <c r="Q46" s="202"/>
    </row>
    <row r="47" spans="2:17">
      <c r="B47" s="85">
        <v>2003</v>
      </c>
      <c r="C47" s="82">
        <v>129.46925229607498</v>
      </c>
      <c r="D47" s="82">
        <v>-276.07499999999982</v>
      </c>
      <c r="E47" s="82"/>
      <c r="F47" s="82"/>
      <c r="G47" s="82"/>
      <c r="H47" s="82"/>
      <c r="I47" s="82"/>
      <c r="J47" s="82"/>
      <c r="K47" s="82"/>
      <c r="L47" s="82"/>
      <c r="M47" s="87"/>
      <c r="N47" s="87"/>
      <c r="O47" s="87"/>
      <c r="P47" s="82"/>
      <c r="Q47" s="202"/>
    </row>
    <row r="48" spans="2:17">
      <c r="B48" s="85">
        <v>2004</v>
      </c>
      <c r="C48" s="82">
        <v>143.00410455079111</v>
      </c>
      <c r="D48" s="82">
        <v>-244.07499999999936</v>
      </c>
      <c r="E48" s="82"/>
      <c r="F48" s="82"/>
      <c r="G48" s="82"/>
      <c r="H48" s="82"/>
      <c r="I48" s="82"/>
      <c r="J48" s="82"/>
      <c r="K48" s="82"/>
      <c r="L48" s="82"/>
      <c r="M48" s="87"/>
      <c r="N48" s="87"/>
      <c r="O48" s="87"/>
      <c r="P48" s="82"/>
      <c r="Q48" s="202"/>
    </row>
    <row r="49" spans="2:17">
      <c r="B49" s="85">
        <v>2005</v>
      </c>
      <c r="C49" s="82">
        <v>16.010909192516721</v>
      </c>
      <c r="D49" s="82">
        <v>-462.49211186100001</v>
      </c>
      <c r="E49" s="82"/>
      <c r="F49" s="82"/>
      <c r="G49" s="82"/>
      <c r="H49" s="82"/>
      <c r="I49" s="82"/>
      <c r="J49" s="82"/>
      <c r="K49" s="82"/>
      <c r="L49" s="82"/>
      <c r="M49" s="87"/>
      <c r="N49" s="87"/>
      <c r="O49" s="87"/>
      <c r="P49" s="82"/>
      <c r="Q49" s="202"/>
    </row>
    <row r="50" spans="2:17">
      <c r="B50" s="85">
        <v>2006</v>
      </c>
      <c r="C50" s="82">
        <v>127.67611677686176</v>
      </c>
      <c r="D50" s="82">
        <v>-620.97500000000036</v>
      </c>
      <c r="E50" s="82"/>
      <c r="F50" s="82"/>
      <c r="G50" s="82"/>
      <c r="H50" s="82"/>
      <c r="I50" s="82"/>
      <c r="J50" s="82"/>
      <c r="K50" s="82"/>
      <c r="L50" s="82"/>
      <c r="M50" s="87"/>
      <c r="N50" s="87"/>
      <c r="O50" s="87"/>
      <c r="P50" s="82"/>
      <c r="Q50" s="202"/>
    </row>
    <row r="51" spans="2:17">
      <c r="B51" s="85">
        <v>2007</v>
      </c>
      <c r="C51" s="82">
        <v>184.24075319596906</v>
      </c>
      <c r="D51" s="82">
        <v>-532.9350000000004</v>
      </c>
      <c r="E51" s="82"/>
      <c r="F51" s="82"/>
      <c r="G51" s="82"/>
      <c r="H51" s="82"/>
      <c r="I51" s="82"/>
      <c r="J51" s="82"/>
      <c r="K51" s="82"/>
      <c r="L51" s="82"/>
      <c r="M51" s="87"/>
      <c r="N51" s="87"/>
      <c r="O51" s="87"/>
      <c r="P51" s="82"/>
      <c r="Q51" s="202"/>
    </row>
    <row r="52" spans="2:17">
      <c r="B52" s="85">
        <v>2008</v>
      </c>
      <c r="C52" s="82">
        <v>-318.76128999605953</v>
      </c>
      <c r="D52" s="82">
        <v>-1063.8749999999982</v>
      </c>
      <c r="E52" s="82"/>
      <c r="F52" s="82"/>
      <c r="G52" s="82"/>
      <c r="H52" s="82"/>
      <c r="I52" s="82"/>
      <c r="J52" s="82"/>
      <c r="K52" s="82"/>
      <c r="L52" s="82"/>
      <c r="M52" s="87"/>
      <c r="N52" s="87"/>
      <c r="O52" s="87"/>
      <c r="P52" s="82"/>
      <c r="Q52" s="202"/>
    </row>
    <row r="53" spans="2:17">
      <c r="B53" s="85">
        <v>2009</v>
      </c>
      <c r="C53" s="82">
        <v>67.727046142562131</v>
      </c>
      <c r="D53" s="82">
        <v>-1043.0702366155992</v>
      </c>
      <c r="E53" s="82"/>
      <c r="F53" s="82"/>
      <c r="G53" s="82"/>
      <c r="H53" s="82"/>
      <c r="I53" s="82"/>
      <c r="J53" s="82"/>
      <c r="K53" s="82"/>
      <c r="L53" s="82"/>
      <c r="M53" s="87"/>
      <c r="N53" s="87"/>
      <c r="O53" s="87"/>
      <c r="P53" s="82"/>
      <c r="Q53" s="202"/>
    </row>
    <row r="54" spans="2:17">
      <c r="B54" s="85">
        <v>2010</v>
      </c>
      <c r="C54" s="82">
        <v>-653.5673161026192</v>
      </c>
      <c r="D54" s="82">
        <v>-1396.5443876429981</v>
      </c>
      <c r="E54" s="82"/>
      <c r="F54" s="82"/>
      <c r="G54" s="82"/>
      <c r="H54" s="82"/>
      <c r="I54" s="82"/>
      <c r="J54" s="82"/>
      <c r="K54" s="82"/>
      <c r="L54" s="82"/>
      <c r="M54" s="87"/>
      <c r="N54" s="87"/>
      <c r="O54" s="87"/>
      <c r="P54" s="82"/>
      <c r="Q54" s="202"/>
    </row>
    <row r="55" spans="2:17">
      <c r="B55" s="85">
        <v>2011</v>
      </c>
      <c r="C55" s="82">
        <v>-270.17410605085558</v>
      </c>
      <c r="D55" s="82">
        <v>-1677.7361950999984</v>
      </c>
      <c r="E55" s="82"/>
      <c r="F55" s="82"/>
      <c r="G55" s="82"/>
      <c r="H55" s="82"/>
      <c r="I55" s="82"/>
      <c r="J55" s="82"/>
      <c r="K55" s="82"/>
      <c r="L55" s="82"/>
      <c r="M55" s="87"/>
      <c r="N55" s="87"/>
      <c r="O55" s="87"/>
      <c r="P55" s="82"/>
      <c r="Q55" s="202"/>
    </row>
    <row r="56" spans="2:17">
      <c r="B56" s="85">
        <v>2012</v>
      </c>
      <c r="C56" s="82"/>
      <c r="D56" s="82"/>
      <c r="E56" s="82"/>
      <c r="F56" s="82"/>
      <c r="G56" s="82"/>
      <c r="H56" s="82"/>
      <c r="I56" s="82"/>
      <c r="J56" s="82"/>
      <c r="K56" s="82"/>
      <c r="L56" s="82"/>
      <c r="M56" s="87"/>
      <c r="N56" s="87"/>
      <c r="O56" s="87"/>
      <c r="P56" s="82"/>
      <c r="Q56" s="202"/>
    </row>
    <row r="57" spans="2:17">
      <c r="B57" s="85">
        <v>2013</v>
      </c>
      <c r="C57" s="82"/>
      <c r="D57" s="82"/>
      <c r="E57" s="82"/>
      <c r="F57" s="82"/>
      <c r="G57" s="82"/>
      <c r="H57" s="82"/>
      <c r="I57" s="82"/>
      <c r="J57" s="82"/>
      <c r="K57" s="82"/>
      <c r="L57" s="82"/>
      <c r="M57" s="87"/>
      <c r="N57" s="87"/>
      <c r="O57" s="87"/>
      <c r="P57" s="82"/>
      <c r="Q57" s="202"/>
    </row>
    <row r="58" spans="2:17">
      <c r="B58" s="85">
        <v>2014</v>
      </c>
      <c r="C58" s="82"/>
      <c r="D58" s="82"/>
      <c r="E58" s="82"/>
      <c r="F58" s="82"/>
      <c r="G58" s="82"/>
      <c r="H58" s="82"/>
      <c r="I58" s="82"/>
      <c r="J58" s="82"/>
      <c r="K58" s="82"/>
      <c r="L58" s="82"/>
      <c r="M58" s="87"/>
      <c r="N58" s="87"/>
      <c r="O58" s="87"/>
      <c r="P58" s="82"/>
      <c r="Q58" s="202"/>
    </row>
    <row r="59" spans="2:17">
      <c r="C59" s="92" t="s">
        <v>49</v>
      </c>
      <c r="D59" s="92" t="s">
        <v>49</v>
      </c>
      <c r="E59" s="92" t="s">
        <v>49</v>
      </c>
      <c r="F59" s="92" t="s">
        <v>49</v>
      </c>
      <c r="G59" s="92" t="s">
        <v>49</v>
      </c>
      <c r="H59" s="92" t="s">
        <v>49</v>
      </c>
      <c r="I59" s="92" t="s">
        <v>49</v>
      </c>
      <c r="J59" s="92" t="s">
        <v>49</v>
      </c>
      <c r="K59" s="92" t="s">
        <v>49</v>
      </c>
      <c r="L59" s="92" t="s">
        <v>49</v>
      </c>
      <c r="M59" s="92" t="s">
        <v>49</v>
      </c>
      <c r="N59" s="92" t="s">
        <v>49</v>
      </c>
      <c r="O59" s="92" t="s">
        <v>49</v>
      </c>
      <c r="P59" s="92" t="s">
        <v>49</v>
      </c>
      <c r="Q59" s="202"/>
    </row>
    <row r="61" spans="2:17">
      <c r="C61" s="80" t="s">
        <v>183</v>
      </c>
    </row>
    <row r="62" spans="2:17">
      <c r="C62" s="80" t="s">
        <v>191</v>
      </c>
    </row>
  </sheetData>
  <hyperlinks>
    <hyperlink ref="A1" location="Índice!A1" display="Índice"/>
  </hyperlinks>
  <pageMargins left="0.7" right="0.7" top="0.75" bottom="0.75" header="0.3" footer="0.3"/>
  <pageSetup orientation="portrait" r:id="rId1"/>
  <drawing r:id="rId2"/>
  <legacyDrawing r:id="rId3"/>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CT72"/>
  <sheetViews>
    <sheetView topLeftCell="Q1" zoomScale="85" zoomScaleNormal="85" zoomScalePageLayoutView="85" workbookViewId="0">
      <selection activeCell="Q1" sqref="Q1"/>
    </sheetView>
  </sheetViews>
  <sheetFormatPr defaultColWidth="11.44140625" defaultRowHeight="15.6"/>
  <cols>
    <col min="1" max="4" width="11.44140625" style="81"/>
    <col min="5" max="10" width="0" style="81" hidden="1" customWidth="1"/>
    <col min="11" max="15" width="11.44140625" style="81"/>
    <col min="16" max="16" width="12.44140625" style="81" customWidth="1"/>
    <col min="17" max="17" width="12.44140625" style="81" bestFit="1" customWidth="1"/>
    <col min="18" max="18" width="11.44140625" style="81"/>
    <col min="19" max="20" width="12.44140625" style="81" customWidth="1"/>
    <col min="21" max="22" width="11.44140625" style="81"/>
    <col min="23" max="23" width="14.44140625" style="81" bestFit="1" customWidth="1"/>
    <col min="24" max="24" width="22.33203125" style="81" bestFit="1" customWidth="1"/>
    <col min="25" max="16384" width="11.44140625" style="81"/>
  </cols>
  <sheetData>
    <row r="1" spans="1:98" s="92" customFormat="1" ht="28.5" customHeight="1">
      <c r="A1" s="148"/>
      <c r="B1" s="92" t="s">
        <v>31</v>
      </c>
      <c r="C1" s="92" t="s">
        <v>31</v>
      </c>
      <c r="D1" s="92" t="s">
        <v>31</v>
      </c>
      <c r="E1" s="92" t="s">
        <v>31</v>
      </c>
      <c r="F1" s="92" t="s">
        <v>31</v>
      </c>
      <c r="G1" s="92" t="s">
        <v>31</v>
      </c>
      <c r="H1" s="92" t="s">
        <v>31</v>
      </c>
      <c r="I1" s="92" t="s">
        <v>31</v>
      </c>
      <c r="J1" s="92" t="s">
        <v>31</v>
      </c>
      <c r="K1" s="92" t="s">
        <v>31</v>
      </c>
      <c r="L1" s="92" t="s">
        <v>31</v>
      </c>
      <c r="M1" s="92" t="s">
        <v>31</v>
      </c>
      <c r="N1" s="92" t="s">
        <v>31</v>
      </c>
      <c r="O1" s="92" t="s">
        <v>31</v>
      </c>
      <c r="P1" s="92" t="s">
        <v>31</v>
      </c>
      <c r="Q1" s="92" t="s">
        <v>31</v>
      </c>
      <c r="R1" s="92" t="s">
        <v>31</v>
      </c>
      <c r="S1" s="92" t="s">
        <v>31</v>
      </c>
      <c r="T1" s="92" t="s">
        <v>31</v>
      </c>
      <c r="U1" s="92" t="s">
        <v>31</v>
      </c>
      <c r="V1" s="92" t="s">
        <v>31</v>
      </c>
      <c r="W1" s="92" t="s">
        <v>31</v>
      </c>
      <c r="X1" s="92" t="s">
        <v>31</v>
      </c>
      <c r="Y1" s="92" t="s">
        <v>31</v>
      </c>
      <c r="Z1" s="92" t="s">
        <v>31</v>
      </c>
      <c r="AA1" s="92" t="s">
        <v>31</v>
      </c>
      <c r="AB1" s="92" t="s">
        <v>31</v>
      </c>
      <c r="AC1" s="92" t="s">
        <v>31</v>
      </c>
      <c r="AD1" s="92" t="s">
        <v>31</v>
      </c>
      <c r="AE1" s="92" t="s">
        <v>31</v>
      </c>
      <c r="AF1" s="92" t="s">
        <v>31</v>
      </c>
      <c r="AG1" s="92" t="s">
        <v>31</v>
      </c>
      <c r="AH1" s="92" t="s">
        <v>31</v>
      </c>
      <c r="AI1" s="92" t="s">
        <v>31</v>
      </c>
      <c r="AJ1" s="92" t="s">
        <v>31</v>
      </c>
      <c r="AK1" s="92" t="s">
        <v>31</v>
      </c>
      <c r="AL1" s="92" t="s">
        <v>31</v>
      </c>
      <c r="AM1" s="92" t="s">
        <v>31</v>
      </c>
      <c r="AN1" s="92" t="s">
        <v>31</v>
      </c>
      <c r="AO1" s="92" t="s">
        <v>126</v>
      </c>
      <c r="AP1" s="92" t="s">
        <v>126</v>
      </c>
      <c r="AQ1" s="92" t="s">
        <v>126</v>
      </c>
      <c r="AR1" s="92" t="s">
        <v>126</v>
      </c>
      <c r="AS1" s="92" t="s">
        <v>49</v>
      </c>
      <c r="AT1" s="92" t="s">
        <v>49</v>
      </c>
      <c r="AU1" s="92" t="s">
        <v>49</v>
      </c>
      <c r="AV1" s="92" t="s">
        <v>49</v>
      </c>
      <c r="AW1" s="92" t="s">
        <v>237</v>
      </c>
      <c r="AX1" s="92" t="s">
        <v>236</v>
      </c>
      <c r="AY1" s="92" t="s">
        <v>197</v>
      </c>
      <c r="AZ1" s="92" t="s">
        <v>234</v>
      </c>
      <c r="BA1" s="92" t="s">
        <v>157</v>
      </c>
      <c r="BB1" s="92" t="s">
        <v>31</v>
      </c>
      <c r="BC1" s="92" t="s">
        <v>31</v>
      </c>
      <c r="BD1" s="92" t="s">
        <v>31</v>
      </c>
      <c r="BE1" s="92" t="s">
        <v>31</v>
      </c>
      <c r="BF1" s="92" t="s">
        <v>31</v>
      </c>
      <c r="BG1" s="92" t="s">
        <v>49</v>
      </c>
      <c r="BH1" s="92" t="s">
        <v>31</v>
      </c>
      <c r="BI1" s="92" t="s">
        <v>31</v>
      </c>
      <c r="BJ1" s="92" t="s">
        <v>31</v>
      </c>
      <c r="BR1" s="92" t="s">
        <v>49</v>
      </c>
      <c r="BS1" s="92" t="s">
        <v>49</v>
      </c>
      <c r="BT1" s="92" t="s">
        <v>49</v>
      </c>
      <c r="BU1" s="92" t="s">
        <v>49</v>
      </c>
      <c r="BV1" s="92" t="s">
        <v>49</v>
      </c>
      <c r="BW1" s="92" t="s">
        <v>49</v>
      </c>
      <c r="BX1" s="92" t="s">
        <v>49</v>
      </c>
      <c r="BY1" s="92" t="s">
        <v>49</v>
      </c>
      <c r="BZ1" s="92" t="s">
        <v>49</v>
      </c>
      <c r="CA1" s="92" t="s">
        <v>49</v>
      </c>
      <c r="CB1" s="92" t="s">
        <v>49</v>
      </c>
      <c r="CC1" s="92" t="s">
        <v>49</v>
      </c>
      <c r="CD1" s="92" t="s">
        <v>49</v>
      </c>
      <c r="CE1" s="92" t="s">
        <v>49</v>
      </c>
      <c r="CF1" s="92" t="s">
        <v>355</v>
      </c>
      <c r="CG1" s="92" t="s">
        <v>355</v>
      </c>
      <c r="CH1" s="92" t="s">
        <v>355</v>
      </c>
      <c r="CI1" s="92" t="s">
        <v>355</v>
      </c>
      <c r="CJ1" s="92" t="s">
        <v>355</v>
      </c>
      <c r="CK1" s="92" t="s">
        <v>355</v>
      </c>
      <c r="CL1" s="92" t="s">
        <v>355</v>
      </c>
      <c r="CM1" s="92" t="s">
        <v>355</v>
      </c>
      <c r="CN1" s="92" t="s">
        <v>356</v>
      </c>
    </row>
    <row r="2" spans="1:98" s="92" customFormat="1" ht="67.5" customHeight="1">
      <c r="A2" s="97" t="s">
        <v>7</v>
      </c>
      <c r="B2" s="136" t="s">
        <v>18</v>
      </c>
      <c r="C2" s="149" t="s">
        <v>72</v>
      </c>
      <c r="D2" s="83" t="s">
        <v>19</v>
      </c>
      <c r="E2" s="150" t="s">
        <v>29</v>
      </c>
      <c r="F2" s="150" t="s">
        <v>28</v>
      </c>
      <c r="G2" s="150" t="s">
        <v>27</v>
      </c>
      <c r="H2" s="150" t="s">
        <v>26</v>
      </c>
      <c r="I2" s="150" t="s">
        <v>25</v>
      </c>
      <c r="J2" s="150" t="s">
        <v>30</v>
      </c>
      <c r="K2" s="136" t="s">
        <v>20</v>
      </c>
      <c r="L2" s="149" t="s">
        <v>73</v>
      </c>
      <c r="M2" s="83" t="s">
        <v>21</v>
      </c>
      <c r="N2" s="150" t="s">
        <v>32</v>
      </c>
      <c r="O2" s="150" t="s">
        <v>33</v>
      </c>
      <c r="P2" s="150" t="s">
        <v>34</v>
      </c>
      <c r="Q2" s="150" t="s">
        <v>35</v>
      </c>
      <c r="R2" s="136" t="s">
        <v>22</v>
      </c>
      <c r="S2" s="149" t="s">
        <v>75</v>
      </c>
      <c r="T2" s="83" t="s">
        <v>11</v>
      </c>
      <c r="U2" s="136" t="s">
        <v>23</v>
      </c>
      <c r="V2" s="149" t="s">
        <v>76</v>
      </c>
      <c r="W2" s="83" t="s">
        <v>24</v>
      </c>
      <c r="X2" s="150" t="s">
        <v>36</v>
      </c>
      <c r="Y2" s="136" t="s">
        <v>37</v>
      </c>
      <c r="Z2" s="149" t="s">
        <v>77</v>
      </c>
      <c r="AA2" s="83" t="s">
        <v>38</v>
      </c>
      <c r="AB2" s="136" t="s">
        <v>40</v>
      </c>
      <c r="AC2" s="149" t="s">
        <v>78</v>
      </c>
      <c r="AD2" s="83" t="s">
        <v>39</v>
      </c>
      <c r="AE2" s="150" t="s">
        <v>41</v>
      </c>
      <c r="AF2" s="150" t="s">
        <v>42</v>
      </c>
      <c r="AG2" s="136" t="s">
        <v>44</v>
      </c>
      <c r="AH2" s="149" t="s">
        <v>79</v>
      </c>
      <c r="AI2" s="83" t="s">
        <v>43</v>
      </c>
      <c r="AJ2" s="150" t="s">
        <v>46</v>
      </c>
      <c r="AK2" s="150" t="s">
        <v>45</v>
      </c>
      <c r="AL2" s="136" t="s">
        <v>138</v>
      </c>
      <c r="AM2" s="149" t="s">
        <v>80</v>
      </c>
      <c r="AN2" s="83" t="s">
        <v>106</v>
      </c>
      <c r="AO2" s="151" t="s">
        <v>173</v>
      </c>
      <c r="AP2" s="151" t="s">
        <v>177</v>
      </c>
      <c r="AQ2" s="151" t="s">
        <v>176</v>
      </c>
      <c r="AR2" s="151" t="s">
        <v>175</v>
      </c>
      <c r="AS2" s="151" t="s">
        <v>293</v>
      </c>
      <c r="AT2" s="97" t="s">
        <v>120</v>
      </c>
      <c r="AU2" s="97" t="s">
        <v>296</v>
      </c>
      <c r="AV2" s="97" t="s">
        <v>295</v>
      </c>
      <c r="AW2" s="150" t="s">
        <v>4</v>
      </c>
      <c r="AX2" s="150" t="s">
        <v>5</v>
      </c>
      <c r="AY2" s="152" t="s">
        <v>47</v>
      </c>
      <c r="AZ2" s="152" t="s">
        <v>235</v>
      </c>
      <c r="BA2" s="150" t="s">
        <v>156</v>
      </c>
      <c r="BB2" s="150" t="s">
        <v>89</v>
      </c>
      <c r="BC2" s="150" t="s">
        <v>109</v>
      </c>
      <c r="BD2" s="150" t="s">
        <v>6</v>
      </c>
      <c r="BE2" s="150" t="s">
        <v>14</v>
      </c>
      <c r="BF2" s="150" t="s">
        <v>111</v>
      </c>
      <c r="BG2" s="150" t="s">
        <v>48</v>
      </c>
      <c r="BH2" s="150" t="s">
        <v>123</v>
      </c>
      <c r="BI2" s="150" t="s">
        <v>124</v>
      </c>
      <c r="BJ2" s="150" t="s">
        <v>125</v>
      </c>
      <c r="BK2" s="150" t="s">
        <v>0</v>
      </c>
      <c r="BL2" s="150" t="s">
        <v>12</v>
      </c>
      <c r="BM2" s="150" t="s">
        <v>164</v>
      </c>
      <c r="BN2" s="150" t="s">
        <v>165</v>
      </c>
      <c r="BO2" s="150" t="s">
        <v>1</v>
      </c>
      <c r="BP2" s="150" t="s">
        <v>2</v>
      </c>
      <c r="BQ2" s="150" t="s">
        <v>15</v>
      </c>
      <c r="BR2" s="83" t="s">
        <v>178</v>
      </c>
      <c r="BS2" s="83" t="s">
        <v>181</v>
      </c>
      <c r="BT2" s="84" t="s">
        <v>179</v>
      </c>
      <c r="BU2" s="84" t="s">
        <v>180</v>
      </c>
      <c r="BV2" s="83" t="s">
        <v>190</v>
      </c>
      <c r="BW2" s="84" t="s">
        <v>186</v>
      </c>
      <c r="BX2" s="84" t="s">
        <v>187</v>
      </c>
      <c r="BY2" s="84" t="s">
        <v>184</v>
      </c>
      <c r="BZ2" s="84" t="s">
        <v>185</v>
      </c>
      <c r="CA2" s="84" t="s">
        <v>188</v>
      </c>
      <c r="CB2" s="83" t="s">
        <v>189</v>
      </c>
      <c r="CC2" s="84" t="s">
        <v>186</v>
      </c>
      <c r="CD2" s="84" t="s">
        <v>187</v>
      </c>
      <c r="CE2" s="84" t="s">
        <v>182</v>
      </c>
      <c r="CF2" s="83" t="s">
        <v>350</v>
      </c>
      <c r="CG2" s="83" t="s">
        <v>359</v>
      </c>
      <c r="CH2" s="83" t="s">
        <v>351</v>
      </c>
      <c r="CI2" s="83" t="s">
        <v>352</v>
      </c>
      <c r="CJ2" s="83" t="s">
        <v>360</v>
      </c>
      <c r="CK2" s="83" t="s">
        <v>353</v>
      </c>
      <c r="CL2" s="83" t="s">
        <v>354</v>
      </c>
      <c r="CM2" s="83" t="s">
        <v>361</v>
      </c>
      <c r="CN2" s="83" t="s">
        <v>362</v>
      </c>
    </row>
    <row r="3" spans="1:98">
      <c r="A3" s="157">
        <v>1960</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v>1389</v>
      </c>
      <c r="AP3" s="116"/>
      <c r="AQ3" s="102"/>
      <c r="AR3" s="102"/>
      <c r="AS3" s="116"/>
      <c r="AT3" s="116">
        <v>26.655999999999999</v>
      </c>
      <c r="AU3" s="116">
        <v>2.246</v>
      </c>
      <c r="AV3" s="116">
        <v>0.79100000000000004</v>
      </c>
      <c r="AW3" s="116">
        <v>31981.901037491996</v>
      </c>
      <c r="AX3" s="116">
        <v>2234665.2185439151</v>
      </c>
      <c r="AY3" s="116">
        <v>246.48863998067051</v>
      </c>
      <c r="AZ3" s="116">
        <v>1173.8541770004358</v>
      </c>
      <c r="BA3" s="158">
        <v>-7.9999144965717806E-3</v>
      </c>
      <c r="BB3" s="116">
        <v>1719.6</v>
      </c>
      <c r="BC3" s="116">
        <v>360.2</v>
      </c>
      <c r="BD3" s="116">
        <v>2080</v>
      </c>
      <c r="BE3" s="116"/>
      <c r="BF3" s="116" t="s">
        <v>110</v>
      </c>
      <c r="BG3" s="116">
        <v>-2.472</v>
      </c>
      <c r="BH3" s="116"/>
      <c r="BI3" s="116" t="s">
        <v>110</v>
      </c>
      <c r="BJ3" s="116" t="s">
        <v>110</v>
      </c>
      <c r="BK3" s="115">
        <v>8.1632653061219917E-2</v>
      </c>
      <c r="BL3" s="116">
        <v>0.44455006617571402</v>
      </c>
      <c r="BM3" s="116">
        <v>75.618277297673444</v>
      </c>
      <c r="BN3" s="116">
        <v>123.59</v>
      </c>
      <c r="BO3" s="116">
        <v>29.585000000000001</v>
      </c>
      <c r="BP3" s="116"/>
      <c r="BQ3" s="116">
        <v>1906641</v>
      </c>
      <c r="BR3" s="82">
        <v>-12.664</v>
      </c>
      <c r="BS3" s="82">
        <v>-7.3259999999999996</v>
      </c>
      <c r="BT3" s="82">
        <v>36.545999999999999</v>
      </c>
      <c r="BU3" s="82">
        <v>43.872</v>
      </c>
      <c r="BV3" s="82">
        <v>3.9529999999999998</v>
      </c>
      <c r="BW3" s="82">
        <v>2.6890000000000001</v>
      </c>
      <c r="BX3" s="82">
        <v>1.264</v>
      </c>
      <c r="BY3" s="82" t="s">
        <v>110</v>
      </c>
      <c r="BZ3" s="82" t="s">
        <v>110</v>
      </c>
      <c r="CA3" s="82" t="s">
        <v>110</v>
      </c>
      <c r="CB3" s="82">
        <v>6.3109999999999999</v>
      </c>
      <c r="CC3" s="82">
        <v>2.04</v>
      </c>
      <c r="CD3" s="82">
        <v>4.2709999999999999</v>
      </c>
      <c r="CE3" s="82">
        <v>-3.3</v>
      </c>
      <c r="CF3" s="81" t="s">
        <v>110</v>
      </c>
      <c r="CG3" s="81" t="s">
        <v>110</v>
      </c>
      <c r="CH3" s="81" t="s">
        <v>110</v>
      </c>
      <c r="CI3" s="81" t="s">
        <v>110</v>
      </c>
      <c r="CJ3" s="81" t="s">
        <v>110</v>
      </c>
      <c r="CK3" s="81" t="s">
        <v>110</v>
      </c>
      <c r="CL3" s="81" t="s">
        <v>110</v>
      </c>
      <c r="CM3" s="81" t="s">
        <v>110</v>
      </c>
      <c r="CN3" s="81" t="s">
        <v>110</v>
      </c>
    </row>
    <row r="4" spans="1:98">
      <c r="A4" s="157">
        <v>1961</v>
      </c>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16">
        <v>1671</v>
      </c>
      <c r="AP4" s="116"/>
      <c r="AQ4" s="102"/>
      <c r="AR4" s="102"/>
      <c r="AS4" s="116"/>
      <c r="AT4" s="116">
        <v>28.709</v>
      </c>
      <c r="AU4" s="116">
        <v>4.1890000000000001</v>
      </c>
      <c r="AV4" s="116">
        <v>0.96499999999999997</v>
      </c>
      <c r="AW4" s="116">
        <v>36474.200093024279</v>
      </c>
      <c r="AX4" s="116">
        <v>2388863.4989098529</v>
      </c>
      <c r="AY4" s="116">
        <v>283.84591512081147</v>
      </c>
      <c r="AZ4" s="116">
        <v>1254.8534667337685</v>
      </c>
      <c r="BA4" s="158">
        <v>6.9002855141948996E-2</v>
      </c>
      <c r="BB4" s="116">
        <v>2083.1</v>
      </c>
      <c r="BC4" s="116">
        <v>688.4</v>
      </c>
      <c r="BD4" s="116">
        <v>2772</v>
      </c>
      <c r="BE4" s="116"/>
      <c r="BF4" s="116" t="s">
        <v>110</v>
      </c>
      <c r="BG4" s="116">
        <v>0.51899999999999968</v>
      </c>
      <c r="BH4" s="116">
        <v>-295</v>
      </c>
      <c r="BI4" s="116" t="s">
        <v>110</v>
      </c>
      <c r="BJ4" s="116" t="s">
        <v>110</v>
      </c>
      <c r="BK4" s="115">
        <v>0.179245283018868</v>
      </c>
      <c r="BL4" s="116">
        <v>0.52423356860343673</v>
      </c>
      <c r="BM4" s="116">
        <v>64.113499214504969</v>
      </c>
      <c r="BN4" s="116">
        <v>123.61</v>
      </c>
      <c r="BO4" s="116">
        <v>29.902000000000001</v>
      </c>
      <c r="BP4" s="116">
        <v>1.0751818913553599</v>
      </c>
      <c r="BQ4" s="116">
        <v>1957755</v>
      </c>
      <c r="BR4" s="82">
        <v>-13.159000000000001</v>
      </c>
      <c r="BS4" s="82">
        <v>-4.6929999999999996</v>
      </c>
      <c r="BT4" s="82">
        <v>43.087000000000003</v>
      </c>
      <c r="BU4" s="82">
        <v>47.78</v>
      </c>
      <c r="BV4" s="82">
        <v>3.6360000000000001</v>
      </c>
      <c r="BW4" s="82">
        <v>1.367</v>
      </c>
      <c r="BX4" s="82">
        <v>2.2690000000000001</v>
      </c>
      <c r="BY4" s="82" t="s">
        <v>110</v>
      </c>
      <c r="BZ4" s="82" t="s">
        <v>110</v>
      </c>
      <c r="CA4" s="82" t="s">
        <v>110</v>
      </c>
      <c r="CB4" s="82">
        <v>5.6740000000000004</v>
      </c>
      <c r="CC4" s="82">
        <v>1.335</v>
      </c>
      <c r="CD4" s="82">
        <v>4.3390000000000004</v>
      </c>
      <c r="CE4" s="82">
        <v>2.8</v>
      </c>
      <c r="CF4" s="154">
        <v>102</v>
      </c>
      <c r="CG4" s="154">
        <v>642.95321833333321</v>
      </c>
      <c r="CH4" s="154">
        <v>47.7</v>
      </c>
      <c r="CI4" s="154">
        <v>58.61</v>
      </c>
      <c r="CJ4" s="154">
        <v>681.9632192426667</v>
      </c>
      <c r="CK4" s="154" t="s">
        <v>357</v>
      </c>
      <c r="CL4" s="154">
        <v>136.58000000000001</v>
      </c>
      <c r="CM4" s="154">
        <v>53.131401671600003</v>
      </c>
      <c r="CN4" s="154">
        <v>2.2100000000000004</v>
      </c>
      <c r="CT4" s="155"/>
    </row>
    <row r="5" spans="1:98">
      <c r="A5" s="157">
        <v>1962</v>
      </c>
      <c r="B5" s="116">
        <v>5405</v>
      </c>
      <c r="C5" s="116"/>
      <c r="D5" s="116">
        <v>3999</v>
      </c>
      <c r="E5" s="116">
        <v>3915.8</v>
      </c>
      <c r="F5" s="116">
        <v>461.9</v>
      </c>
      <c r="G5" s="116">
        <v>0</v>
      </c>
      <c r="H5" s="116">
        <v>3453.8999999999996</v>
      </c>
      <c r="I5" s="116">
        <v>252.3</v>
      </c>
      <c r="J5" s="116">
        <v>0</v>
      </c>
      <c r="K5" s="116">
        <v>3760</v>
      </c>
      <c r="L5" s="116"/>
      <c r="M5" s="116">
        <v>2984</v>
      </c>
      <c r="N5" s="116">
        <v>2663</v>
      </c>
      <c r="O5" s="116">
        <v>265</v>
      </c>
      <c r="P5" s="116">
        <v>16</v>
      </c>
      <c r="Q5" s="116">
        <v>40</v>
      </c>
      <c r="R5" s="116">
        <v>21</v>
      </c>
      <c r="S5" s="116">
        <v>0</v>
      </c>
      <c r="T5" s="116">
        <v>16</v>
      </c>
      <c r="U5" s="116">
        <v>1601</v>
      </c>
      <c r="V5" s="116">
        <v>384</v>
      </c>
      <c r="W5" s="116">
        <v>873</v>
      </c>
      <c r="X5" s="116">
        <v>545</v>
      </c>
      <c r="Y5" s="116">
        <v>65</v>
      </c>
      <c r="Z5" s="116">
        <v>-21</v>
      </c>
      <c r="AA5" s="116">
        <v>54</v>
      </c>
      <c r="AB5" s="116">
        <v>405</v>
      </c>
      <c r="AC5" s="116">
        <v>4</v>
      </c>
      <c r="AD5" s="116">
        <v>364</v>
      </c>
      <c r="AE5" s="116">
        <v>476</v>
      </c>
      <c r="AF5" s="116">
        <v>136</v>
      </c>
      <c r="AG5" s="116">
        <v>-549</v>
      </c>
      <c r="AH5" s="116">
        <v>17</v>
      </c>
      <c r="AI5" s="116">
        <v>-417</v>
      </c>
      <c r="AJ5" s="116">
        <v>0</v>
      </c>
      <c r="AK5" s="116">
        <v>24</v>
      </c>
      <c r="AL5" s="116">
        <v>78</v>
      </c>
      <c r="AM5" s="116">
        <v>0</v>
      </c>
      <c r="AN5" s="116">
        <v>-1</v>
      </c>
      <c r="AO5" s="116">
        <v>2305.1</v>
      </c>
      <c r="AP5" s="116">
        <v>619</v>
      </c>
      <c r="AQ5" s="116">
        <v>16</v>
      </c>
      <c r="AR5" s="116">
        <f>AP5+AQ5</f>
        <v>635</v>
      </c>
      <c r="AS5" s="116"/>
      <c r="AT5" s="116">
        <v>29.193999999999999</v>
      </c>
      <c r="AU5" s="116">
        <v>4.226</v>
      </c>
      <c r="AV5" s="116">
        <v>1.008</v>
      </c>
      <c r="AW5" s="116">
        <v>40850.90635601955</v>
      </c>
      <c r="AX5" s="116">
        <v>2467702.1700095898</v>
      </c>
      <c r="AY5" s="116">
        <v>324.21354250809168</v>
      </c>
      <c r="AZ5" s="116">
        <v>1296.2668751546912</v>
      </c>
      <c r="BA5" s="158">
        <v>3.300258517730903E-2</v>
      </c>
      <c r="BB5" s="116">
        <v>2059</v>
      </c>
      <c r="BC5" s="116">
        <v>875.7</v>
      </c>
      <c r="BD5" s="116">
        <v>2934.6000000000004</v>
      </c>
      <c r="BE5" s="116">
        <v>3222</v>
      </c>
      <c r="BF5" s="116" t="s">
        <v>110</v>
      </c>
      <c r="BG5" s="116">
        <v>0.46900000000000008</v>
      </c>
      <c r="BH5" s="116">
        <v>-148</v>
      </c>
      <c r="BI5" s="116" t="s">
        <v>110</v>
      </c>
      <c r="BJ5" s="116" t="s">
        <v>110</v>
      </c>
      <c r="BK5" s="115">
        <v>2.0000000000000018E-2</v>
      </c>
      <c r="BL5" s="116">
        <v>0.53471823997550538</v>
      </c>
      <c r="BM5" s="116">
        <v>63.060145552773328</v>
      </c>
      <c r="BN5" s="116">
        <v>123.6</v>
      </c>
      <c r="BO5" s="116">
        <v>30.253</v>
      </c>
      <c r="BP5" s="116">
        <v>1.1160714285840101</v>
      </c>
      <c r="BQ5" s="116">
        <v>2010466</v>
      </c>
      <c r="BR5" s="82">
        <v>-9.4629999999999992</v>
      </c>
      <c r="BS5" s="82">
        <v>-0.93400000000000005</v>
      </c>
      <c r="BT5" s="82">
        <v>39.613999999999997</v>
      </c>
      <c r="BU5" s="82">
        <v>40.548000000000002</v>
      </c>
      <c r="BV5" s="82">
        <v>4.7789999999999999</v>
      </c>
      <c r="BW5" s="82">
        <v>2.5259999999999998</v>
      </c>
      <c r="BX5" s="82">
        <v>2.2530000000000001</v>
      </c>
      <c r="BY5" s="82" t="s">
        <v>110</v>
      </c>
      <c r="BZ5" s="82" t="s">
        <v>110</v>
      </c>
      <c r="CA5" s="82" t="s">
        <v>110</v>
      </c>
      <c r="CB5" s="82">
        <v>0.89500000000000002</v>
      </c>
      <c r="CC5" s="82">
        <v>3.5830000000000002</v>
      </c>
      <c r="CD5" s="82">
        <v>-1.9350000000000001</v>
      </c>
      <c r="CE5" s="82">
        <v>0.753</v>
      </c>
      <c r="CF5" s="154">
        <v>92</v>
      </c>
      <c r="CG5" s="154">
        <v>627.24544333333336</v>
      </c>
      <c r="CH5" s="154">
        <v>48.65</v>
      </c>
      <c r="CI5" s="154">
        <v>64.33</v>
      </c>
      <c r="CJ5" s="154">
        <v>714.11396368433338</v>
      </c>
      <c r="CK5" s="154" t="s">
        <v>357</v>
      </c>
      <c r="CL5" s="154">
        <v>152.75</v>
      </c>
      <c r="CM5" s="154">
        <v>105.821878848</v>
      </c>
      <c r="CN5" s="154">
        <v>2.23</v>
      </c>
    </row>
    <row r="6" spans="1:98">
      <c r="A6" s="157">
        <v>1963</v>
      </c>
      <c r="B6" s="116">
        <v>5535</v>
      </c>
      <c r="C6" s="116"/>
      <c r="D6" s="116">
        <v>3966</v>
      </c>
      <c r="E6" s="116">
        <v>3658.8</v>
      </c>
      <c r="F6" s="116">
        <v>432</v>
      </c>
      <c r="G6" s="116">
        <v>0</v>
      </c>
      <c r="H6" s="116">
        <v>3226.8</v>
      </c>
      <c r="I6" s="116">
        <v>497.9</v>
      </c>
      <c r="J6" s="116">
        <v>0</v>
      </c>
      <c r="K6" s="116">
        <v>4632</v>
      </c>
      <c r="L6" s="116"/>
      <c r="M6" s="116">
        <v>3628</v>
      </c>
      <c r="N6" s="116">
        <v>3167</v>
      </c>
      <c r="O6" s="116">
        <v>385</v>
      </c>
      <c r="P6" s="116">
        <v>13</v>
      </c>
      <c r="Q6" s="116">
        <v>63</v>
      </c>
      <c r="R6" s="116">
        <v>31</v>
      </c>
      <c r="S6" s="116">
        <v>1</v>
      </c>
      <c r="T6" s="116">
        <v>26</v>
      </c>
      <c r="U6" s="116">
        <v>1461</v>
      </c>
      <c r="V6" s="116">
        <v>363</v>
      </c>
      <c r="W6" s="116">
        <v>723</v>
      </c>
      <c r="X6" s="116">
        <v>614</v>
      </c>
      <c r="Y6" s="116">
        <v>-527</v>
      </c>
      <c r="Z6" s="116">
        <v>-3</v>
      </c>
      <c r="AA6" s="116">
        <v>-467</v>
      </c>
      <c r="AB6" s="116">
        <v>272</v>
      </c>
      <c r="AC6" s="116">
        <v>-37</v>
      </c>
      <c r="AD6" s="116">
        <v>251</v>
      </c>
      <c r="AE6" s="116">
        <v>312</v>
      </c>
      <c r="AF6" s="116">
        <v>131</v>
      </c>
      <c r="AG6" s="116">
        <v>252</v>
      </c>
      <c r="AH6" s="116">
        <v>40</v>
      </c>
      <c r="AI6" s="116">
        <v>279</v>
      </c>
      <c r="AJ6" s="116">
        <v>30</v>
      </c>
      <c r="AK6" s="116">
        <v>22</v>
      </c>
      <c r="AL6" s="116">
        <v>3</v>
      </c>
      <c r="AM6" s="116">
        <v>0</v>
      </c>
      <c r="AN6" s="116">
        <v>-63</v>
      </c>
      <c r="AO6" s="116">
        <v>2803.2</v>
      </c>
      <c r="AP6" s="116">
        <v>285</v>
      </c>
      <c r="AQ6" s="116">
        <v>13</v>
      </c>
      <c r="AR6" s="116">
        <f t="shared" ref="AR6:AR16" si="0">AP6+AQ6</f>
        <v>298</v>
      </c>
      <c r="AS6" s="116" t="s">
        <v>110</v>
      </c>
      <c r="AT6" s="116">
        <v>29.581</v>
      </c>
      <c r="AU6" s="116">
        <v>3.2850000000000001</v>
      </c>
      <c r="AV6" s="116">
        <v>1.2689999999999999</v>
      </c>
      <c r="AW6" s="116">
        <v>43439.426657305405</v>
      </c>
      <c r="AX6" s="116">
        <v>2583938.1315578753</v>
      </c>
      <c r="AY6" s="116">
        <v>344.75735442305876</v>
      </c>
      <c r="AZ6" s="116">
        <v>1357.3248214854721</v>
      </c>
      <c r="BA6" s="158">
        <v>4.7102913374604594E-2</v>
      </c>
      <c r="BB6" s="116">
        <v>2227</v>
      </c>
      <c r="BC6" s="116">
        <v>1345.4</v>
      </c>
      <c r="BD6" s="116">
        <v>3572.7000000000003</v>
      </c>
      <c r="BE6" s="116">
        <v>3572</v>
      </c>
      <c r="BF6" s="116" t="s">
        <v>110</v>
      </c>
      <c r="BG6" s="116">
        <v>1.8940000000000001</v>
      </c>
      <c r="BH6" s="116">
        <v>99</v>
      </c>
      <c r="BI6" s="116" t="s">
        <v>110</v>
      </c>
      <c r="BJ6" s="116" t="s">
        <v>110</v>
      </c>
      <c r="BK6" s="115">
        <v>1.5686274509804088E-2</v>
      </c>
      <c r="BL6" s="116">
        <v>0.54310597707316</v>
      </c>
      <c r="BM6" s="116">
        <v>61.870184180222829</v>
      </c>
      <c r="BN6" s="116">
        <v>123.6</v>
      </c>
      <c r="BO6" s="116">
        <v>30.632999999999999</v>
      </c>
      <c r="BP6" s="116">
        <v>1.2141280364371501</v>
      </c>
      <c r="BQ6" s="116">
        <v>2064704</v>
      </c>
      <c r="BR6" s="82">
        <v>-8.4749999999999996</v>
      </c>
      <c r="BS6" s="82">
        <v>0.63</v>
      </c>
      <c r="BT6" s="82">
        <v>38.716000000000001</v>
      </c>
      <c r="BU6" s="82">
        <v>38.085999999999999</v>
      </c>
      <c r="BV6" s="82">
        <v>1.2070000000000001</v>
      </c>
      <c r="BW6" s="82">
        <v>2.637</v>
      </c>
      <c r="BX6" s="82">
        <v>-1.43</v>
      </c>
      <c r="BY6" s="82" t="s">
        <v>110</v>
      </c>
      <c r="BZ6" s="82" t="s">
        <v>110</v>
      </c>
      <c r="CA6" s="82" t="s">
        <v>110</v>
      </c>
      <c r="CB6" s="82">
        <v>2.7370000000000001</v>
      </c>
      <c r="CC6" s="82">
        <v>4.3259999999999996</v>
      </c>
      <c r="CD6" s="82">
        <v>1.5820000000000001</v>
      </c>
      <c r="CE6" s="82">
        <v>2.339</v>
      </c>
      <c r="CF6" s="154">
        <v>101</v>
      </c>
      <c r="CG6" s="154">
        <v>644.71689833333335</v>
      </c>
      <c r="CH6" s="154">
        <v>53.77</v>
      </c>
      <c r="CI6" s="154">
        <v>64.489999999999995</v>
      </c>
      <c r="CJ6" s="154">
        <v>666.34714337100013</v>
      </c>
      <c r="CK6" s="154" t="s">
        <v>357</v>
      </c>
      <c r="CL6" s="154">
        <v>143.25</v>
      </c>
      <c r="CM6" s="154">
        <v>228.6193507612</v>
      </c>
      <c r="CN6" s="154">
        <v>2.23</v>
      </c>
    </row>
    <row r="7" spans="1:98">
      <c r="A7" s="157">
        <v>1964</v>
      </c>
      <c r="B7" s="116">
        <v>5940</v>
      </c>
      <c r="C7" s="116"/>
      <c r="D7" s="116">
        <v>4176</v>
      </c>
      <c r="E7" s="116">
        <v>3832.1</v>
      </c>
      <c r="F7" s="116">
        <v>428.5</v>
      </c>
      <c r="G7" s="116">
        <v>0</v>
      </c>
      <c r="H7" s="116">
        <v>3403.5999999999995</v>
      </c>
      <c r="I7" s="116">
        <v>517.1</v>
      </c>
      <c r="J7" s="116">
        <v>0</v>
      </c>
      <c r="K7" s="116">
        <v>4965</v>
      </c>
      <c r="L7" s="116"/>
      <c r="M7" s="116">
        <v>3951</v>
      </c>
      <c r="N7" s="116">
        <v>3431</v>
      </c>
      <c r="O7" s="116">
        <v>429</v>
      </c>
      <c r="P7" s="116">
        <v>19</v>
      </c>
      <c r="Q7" s="116">
        <v>72</v>
      </c>
      <c r="R7" s="116">
        <v>11</v>
      </c>
      <c r="S7" s="116">
        <v>3</v>
      </c>
      <c r="T7" s="116">
        <v>4</v>
      </c>
      <c r="U7" s="116">
        <v>1567</v>
      </c>
      <c r="V7" s="116">
        <v>302</v>
      </c>
      <c r="W7" s="116">
        <v>796</v>
      </c>
      <c r="X7" s="116">
        <v>609</v>
      </c>
      <c r="Y7" s="116">
        <v>-581</v>
      </c>
      <c r="Z7" s="116">
        <v>142</v>
      </c>
      <c r="AA7" s="116">
        <v>-693</v>
      </c>
      <c r="AB7" s="116">
        <v>261</v>
      </c>
      <c r="AC7" s="116">
        <v>-12</v>
      </c>
      <c r="AD7" s="116">
        <v>205</v>
      </c>
      <c r="AE7" s="116">
        <v>345</v>
      </c>
      <c r="AF7" s="116">
        <v>140</v>
      </c>
      <c r="AG7" s="116">
        <v>295</v>
      </c>
      <c r="AH7" s="116">
        <v>-130</v>
      </c>
      <c r="AI7" s="116">
        <v>552</v>
      </c>
      <c r="AJ7" s="116">
        <v>702</v>
      </c>
      <c r="AK7" s="116">
        <v>59</v>
      </c>
      <c r="AL7" s="116">
        <v>25</v>
      </c>
      <c r="AM7" s="116">
        <v>0</v>
      </c>
      <c r="AN7" s="116">
        <v>-64</v>
      </c>
      <c r="AO7" s="116">
        <v>3607.3</v>
      </c>
      <c r="AP7" s="116">
        <v>453</v>
      </c>
      <c r="AQ7" s="116">
        <v>19</v>
      </c>
      <c r="AR7" s="116">
        <f t="shared" si="0"/>
        <v>472</v>
      </c>
      <c r="AS7" s="116" t="s">
        <v>110</v>
      </c>
      <c r="AT7" s="116">
        <v>33.645000000000003</v>
      </c>
      <c r="AU7" s="116">
        <v>4.3959999999999999</v>
      </c>
      <c r="AV7" s="116">
        <v>1.411</v>
      </c>
      <c r="AW7" s="116">
        <v>46286.816862199667</v>
      </c>
      <c r="AX7" s="116">
        <v>2692785.940305342</v>
      </c>
      <c r="AY7" s="116">
        <v>367.35568938253704</v>
      </c>
      <c r="AZ7" s="116">
        <v>1414.5018222707679</v>
      </c>
      <c r="BA7" s="158">
        <v>4.2124773584204078E-2</v>
      </c>
      <c r="BB7" s="116">
        <v>2774</v>
      </c>
      <c r="BC7" s="116">
        <v>1645</v>
      </c>
      <c r="BD7" s="116">
        <v>4374.3</v>
      </c>
      <c r="BE7" s="116">
        <v>4332</v>
      </c>
      <c r="BF7" s="116" t="s">
        <v>110</v>
      </c>
      <c r="BG7" s="116">
        <v>5.0289999999999999</v>
      </c>
      <c r="BH7" s="116">
        <v>481</v>
      </c>
      <c r="BI7" s="116" t="s">
        <v>110</v>
      </c>
      <c r="BJ7" s="116" t="s">
        <v>110</v>
      </c>
      <c r="BK7" s="115">
        <v>5.044222772771989E-2</v>
      </c>
      <c r="BL7" s="116">
        <v>0.55917532067241027</v>
      </c>
      <c r="BM7" s="116">
        <v>60.317024828630906</v>
      </c>
      <c r="BN7" s="116">
        <v>123.6</v>
      </c>
      <c r="BO7" s="116">
        <v>31.038</v>
      </c>
      <c r="BP7" s="116">
        <v>1.3086150490727799</v>
      </c>
      <c r="BQ7" s="116">
        <v>2120399</v>
      </c>
      <c r="BR7" s="82">
        <v>-12.898</v>
      </c>
      <c r="BS7" s="82">
        <v>-5.1999999999999998E-2</v>
      </c>
      <c r="BT7" s="82">
        <v>46.218000000000004</v>
      </c>
      <c r="BU7" s="82">
        <v>46.27</v>
      </c>
      <c r="BV7" s="82">
        <v>7.5529999999999999</v>
      </c>
      <c r="BW7" s="82">
        <v>3.7080000000000002</v>
      </c>
      <c r="BX7" s="82">
        <v>3.8450000000000002</v>
      </c>
      <c r="BY7" s="82" t="s">
        <v>110</v>
      </c>
      <c r="BZ7" s="82" t="s">
        <v>110</v>
      </c>
      <c r="CA7" s="82" t="s">
        <v>110</v>
      </c>
      <c r="CB7" s="82">
        <v>5.4279999999999999</v>
      </c>
      <c r="CC7" s="82">
        <v>4.2640000000000002</v>
      </c>
      <c r="CD7" s="82">
        <v>1.1639999999999999</v>
      </c>
      <c r="CE7" s="82">
        <v>3.2629999999999999</v>
      </c>
      <c r="CF7" s="154">
        <v>101</v>
      </c>
      <c r="CG7" s="154">
        <v>650.26514166666664</v>
      </c>
      <c r="CH7" s="154">
        <v>54.72</v>
      </c>
      <c r="CI7" s="154">
        <v>67.61</v>
      </c>
      <c r="CJ7" s="154">
        <v>840.87975605433337</v>
      </c>
      <c r="CK7" s="154" t="s">
        <v>357</v>
      </c>
      <c r="CL7" s="154">
        <v>137.83000000000001</v>
      </c>
      <c r="CM7" s="154">
        <v>55.115561900000003</v>
      </c>
      <c r="CN7" s="154">
        <v>2.23</v>
      </c>
    </row>
    <row r="8" spans="1:98">
      <c r="A8" s="157">
        <v>1965</v>
      </c>
      <c r="B8" s="116">
        <v>7533</v>
      </c>
      <c r="C8" s="116"/>
      <c r="D8" s="116">
        <v>5541</v>
      </c>
      <c r="E8" s="116">
        <v>5241.2</v>
      </c>
      <c r="F8" s="116">
        <v>515.20000000000005</v>
      </c>
      <c r="G8" s="116">
        <v>0</v>
      </c>
      <c r="H8" s="116">
        <v>4726</v>
      </c>
      <c r="I8" s="116">
        <v>548.20000000000005</v>
      </c>
      <c r="J8" s="116">
        <v>0</v>
      </c>
      <c r="K8" s="116">
        <v>5428</v>
      </c>
      <c r="L8" s="116"/>
      <c r="M8" s="116">
        <v>4331</v>
      </c>
      <c r="N8" s="116">
        <v>3752</v>
      </c>
      <c r="O8" s="116">
        <v>482</v>
      </c>
      <c r="P8" s="116">
        <v>33</v>
      </c>
      <c r="Q8" s="116">
        <v>64</v>
      </c>
      <c r="R8" s="116">
        <v>73</v>
      </c>
      <c r="S8" s="116">
        <v>1</v>
      </c>
      <c r="T8" s="116">
        <v>1</v>
      </c>
      <c r="U8" s="116">
        <v>1884</v>
      </c>
      <c r="V8" s="116">
        <v>581</v>
      </c>
      <c r="W8" s="116">
        <v>706</v>
      </c>
      <c r="X8" s="116">
        <v>485</v>
      </c>
      <c r="Y8" s="116">
        <v>294</v>
      </c>
      <c r="Z8" s="116">
        <v>23</v>
      </c>
      <c r="AA8" s="116">
        <v>282</v>
      </c>
      <c r="AB8" s="116">
        <v>243</v>
      </c>
      <c r="AC8" s="116">
        <v>63</v>
      </c>
      <c r="AD8" s="116">
        <v>149</v>
      </c>
      <c r="AE8" s="116">
        <v>239</v>
      </c>
      <c r="AF8" s="116">
        <v>112</v>
      </c>
      <c r="AG8" s="116">
        <v>-374</v>
      </c>
      <c r="AH8" s="116">
        <v>-6</v>
      </c>
      <c r="AI8" s="116">
        <v>-368</v>
      </c>
      <c r="AJ8" s="116">
        <v>424</v>
      </c>
      <c r="AK8" s="116">
        <v>72</v>
      </c>
      <c r="AL8" s="116">
        <v>-163</v>
      </c>
      <c r="AM8" s="116">
        <v>-80</v>
      </c>
      <c r="AN8" s="116">
        <v>-63</v>
      </c>
      <c r="AO8" s="116">
        <v>4339</v>
      </c>
      <c r="AP8" s="116">
        <v>601</v>
      </c>
      <c r="AQ8" s="116">
        <v>35</v>
      </c>
      <c r="AR8" s="116">
        <f t="shared" si="0"/>
        <v>636</v>
      </c>
      <c r="AS8" s="116" t="s">
        <v>110</v>
      </c>
      <c r="AT8" s="116">
        <v>41.984999999999999</v>
      </c>
      <c r="AU8" s="116">
        <v>5.19</v>
      </c>
      <c r="AV8" s="116">
        <v>1.5680000000000001</v>
      </c>
      <c r="AW8" s="116">
        <v>50416.341077094468</v>
      </c>
      <c r="AX8" s="116">
        <v>2858876.2974237306</v>
      </c>
      <c r="AY8" s="116">
        <v>400.12969108805129</v>
      </c>
      <c r="AZ8" s="116">
        <v>1501.747937637414</v>
      </c>
      <c r="BA8" s="158">
        <v>6.1679747592396916E-2</v>
      </c>
      <c r="BB8" s="116">
        <v>3139</v>
      </c>
      <c r="BC8" s="116">
        <v>1909.2</v>
      </c>
      <c r="BD8" s="116">
        <v>5048.6000000000004</v>
      </c>
      <c r="BE8" s="116">
        <v>4768</v>
      </c>
      <c r="BF8" s="116" t="s">
        <v>110</v>
      </c>
      <c r="BG8" s="116">
        <v>10.747999999999999</v>
      </c>
      <c r="BH8" s="116">
        <v>930</v>
      </c>
      <c r="BI8" s="116" t="s">
        <v>110</v>
      </c>
      <c r="BJ8" s="116" t="s">
        <v>110</v>
      </c>
      <c r="BK8" s="115">
        <v>3.9215686274509665E-2</v>
      </c>
      <c r="BL8" s="116">
        <v>0.58066234433082331</v>
      </c>
      <c r="BM8" s="116">
        <v>59.109893644811642</v>
      </c>
      <c r="BN8" s="116">
        <v>123.6</v>
      </c>
      <c r="BO8" s="116">
        <v>31.527999999999999</v>
      </c>
      <c r="BP8" s="116">
        <v>1.6684607099028701</v>
      </c>
      <c r="BQ8" s="116">
        <v>2177482</v>
      </c>
      <c r="BR8" s="82">
        <v>-8.3650000000000002</v>
      </c>
      <c r="BS8" s="82">
        <v>6.9809999999999999</v>
      </c>
      <c r="BT8" s="82">
        <v>60.012999999999998</v>
      </c>
      <c r="BU8" s="82">
        <v>53.031999999999996</v>
      </c>
      <c r="BV8" s="82">
        <v>2.57</v>
      </c>
      <c r="BW8" s="82">
        <v>3.5139999999999998</v>
      </c>
      <c r="BX8" s="82">
        <v>-0.94399999999999995</v>
      </c>
      <c r="BY8" s="82" t="s">
        <v>110</v>
      </c>
      <c r="BZ8" s="82" t="s">
        <v>110</v>
      </c>
      <c r="CA8" s="82" t="s">
        <v>110</v>
      </c>
      <c r="CB8" s="82">
        <v>10.117000000000001</v>
      </c>
      <c r="CC8" s="82">
        <v>6.8769999999999998</v>
      </c>
      <c r="CD8" s="82">
        <v>3.24</v>
      </c>
      <c r="CE8" s="82">
        <v>6.2229999999999999</v>
      </c>
      <c r="CF8" s="154">
        <v>107.33333333333333</v>
      </c>
      <c r="CG8" s="154">
        <v>635.71478166666657</v>
      </c>
      <c r="CH8" s="154">
        <v>55.25</v>
      </c>
      <c r="CI8" s="154">
        <v>59.46</v>
      </c>
      <c r="CJ8" s="154">
        <v>881.62852815240012</v>
      </c>
      <c r="CK8" s="154" t="s">
        <v>357</v>
      </c>
      <c r="CL8" s="154">
        <v>136.25</v>
      </c>
      <c r="CM8" s="154">
        <v>50.706316948000001</v>
      </c>
      <c r="CN8" s="154">
        <v>2.23</v>
      </c>
    </row>
    <row r="9" spans="1:98">
      <c r="A9" s="157">
        <v>1966</v>
      </c>
      <c r="B9" s="116">
        <v>7696</v>
      </c>
      <c r="C9" s="116"/>
      <c r="D9" s="116">
        <v>5912</v>
      </c>
      <c r="E9" s="116">
        <v>5493.2</v>
      </c>
      <c r="F9" s="116">
        <v>613.5</v>
      </c>
      <c r="G9" s="116">
        <v>0</v>
      </c>
      <c r="H9" s="116">
        <v>4879.7</v>
      </c>
      <c r="I9" s="116">
        <v>679.8</v>
      </c>
      <c r="J9" s="116">
        <v>0</v>
      </c>
      <c r="K9" s="116">
        <v>5913</v>
      </c>
      <c r="L9" s="116"/>
      <c r="M9" s="116">
        <v>4705</v>
      </c>
      <c r="N9" s="116">
        <v>4007</v>
      </c>
      <c r="O9" s="116">
        <v>620</v>
      </c>
      <c r="P9" s="116">
        <v>39</v>
      </c>
      <c r="Q9" s="116">
        <v>39</v>
      </c>
      <c r="R9" s="116">
        <v>326</v>
      </c>
      <c r="S9" s="116">
        <v>90</v>
      </c>
      <c r="T9" s="116">
        <v>2</v>
      </c>
      <c r="U9" s="116">
        <v>3030</v>
      </c>
      <c r="V9" s="116">
        <v>1412</v>
      </c>
      <c r="W9" s="116">
        <v>1003</v>
      </c>
      <c r="X9" s="116">
        <v>794</v>
      </c>
      <c r="Y9" s="116">
        <v>-921</v>
      </c>
      <c r="Z9" s="116">
        <v>-1007</v>
      </c>
      <c r="AA9" s="116">
        <v>-25</v>
      </c>
      <c r="AB9" s="116">
        <v>1299</v>
      </c>
      <c r="AC9" s="116">
        <v>905</v>
      </c>
      <c r="AD9" s="116">
        <v>280</v>
      </c>
      <c r="AE9" s="116">
        <v>271</v>
      </c>
      <c r="AF9" s="116">
        <v>61</v>
      </c>
      <c r="AG9" s="116">
        <v>-83</v>
      </c>
      <c r="AH9" s="116">
        <v>119</v>
      </c>
      <c r="AI9" s="116">
        <v>-178</v>
      </c>
      <c r="AJ9" s="116">
        <v>12</v>
      </c>
      <c r="AK9" s="116">
        <v>85</v>
      </c>
      <c r="AL9" s="116">
        <v>-294</v>
      </c>
      <c r="AM9" s="116">
        <v>-16</v>
      </c>
      <c r="AN9" s="116">
        <v>-75</v>
      </c>
      <c r="AO9" s="116">
        <v>4630.8</v>
      </c>
      <c r="AP9" s="116">
        <v>659</v>
      </c>
      <c r="AQ9" s="116">
        <v>41</v>
      </c>
      <c r="AR9" s="116">
        <f t="shared" si="0"/>
        <v>700</v>
      </c>
      <c r="AS9" s="116" t="s">
        <v>110</v>
      </c>
      <c r="AT9" s="116">
        <v>52.198999999999998</v>
      </c>
      <c r="AU9" s="116">
        <v>3.0019999999999998</v>
      </c>
      <c r="AV9" s="116">
        <v>1.5209999999999999</v>
      </c>
      <c r="AW9" s="116">
        <v>53134.255667617959</v>
      </c>
      <c r="AX9" s="116">
        <v>2915810.9141769381</v>
      </c>
      <c r="AY9" s="116">
        <v>421.70044180649177</v>
      </c>
      <c r="AZ9" s="116">
        <v>1531.6552978706484</v>
      </c>
      <c r="BA9" s="158">
        <v>1.991503333128275E-2</v>
      </c>
      <c r="BB9" s="116">
        <v>3155</v>
      </c>
      <c r="BC9" s="116">
        <v>2083.4</v>
      </c>
      <c r="BD9" s="116">
        <v>5238.6000000000004</v>
      </c>
      <c r="BE9" s="116">
        <v>5257</v>
      </c>
      <c r="BF9" s="116" t="s">
        <v>110</v>
      </c>
      <c r="BG9" s="116">
        <v>10.77</v>
      </c>
      <c r="BH9" s="116">
        <v>733</v>
      </c>
      <c r="BI9" s="116" t="s">
        <v>110</v>
      </c>
      <c r="BJ9" s="116" t="s">
        <v>110</v>
      </c>
      <c r="BK9" s="115">
        <v>1.3207547169811429E-2</v>
      </c>
      <c r="BL9" s="116">
        <v>0.59744179881461645</v>
      </c>
      <c r="BM9" s="116">
        <v>59.245505935911815</v>
      </c>
      <c r="BN9" s="116">
        <v>123.87</v>
      </c>
      <c r="BO9" s="116">
        <v>32.470999999999997</v>
      </c>
      <c r="BP9" s="116">
        <v>2.9910005294848201</v>
      </c>
      <c r="BQ9" s="116">
        <v>2236307</v>
      </c>
      <c r="BR9" s="82">
        <v>-17.928000000000001</v>
      </c>
      <c r="BS9" s="82">
        <v>-9.6370000000000005</v>
      </c>
      <c r="BT9" s="82">
        <v>53.636000000000003</v>
      </c>
      <c r="BU9" s="82">
        <v>63.273000000000003</v>
      </c>
      <c r="BV9" s="82">
        <v>12.804</v>
      </c>
      <c r="BW9" s="82"/>
      <c r="BX9" s="82"/>
      <c r="BY9" s="82" t="s">
        <v>110</v>
      </c>
      <c r="BZ9" s="82" t="s">
        <v>110</v>
      </c>
      <c r="CA9" s="82" t="s">
        <v>110</v>
      </c>
      <c r="CB9" s="82"/>
      <c r="CC9" s="82"/>
      <c r="CD9" s="82"/>
      <c r="CE9" s="82">
        <v>0</v>
      </c>
      <c r="CF9" s="154">
        <v>115.91666666666667</v>
      </c>
      <c r="CG9" s="154">
        <v>622.54229666666652</v>
      </c>
      <c r="CH9" s="154">
        <v>58</v>
      </c>
      <c r="CI9" s="154">
        <v>63</v>
      </c>
      <c r="CJ9" s="154">
        <v>1022.3569295370668</v>
      </c>
      <c r="CK9" s="154" t="s">
        <v>357</v>
      </c>
      <c r="CL9" s="154">
        <v>165.66</v>
      </c>
      <c r="CM9" s="154">
        <v>29.101016683200005</v>
      </c>
      <c r="CN9" s="154">
        <v>2.23</v>
      </c>
    </row>
    <row r="10" spans="1:98">
      <c r="A10" s="157">
        <v>1967</v>
      </c>
      <c r="B10" s="116">
        <v>8513</v>
      </c>
      <c r="C10" s="116">
        <v>2672</v>
      </c>
      <c r="D10" s="116">
        <v>6381</v>
      </c>
      <c r="E10" s="116">
        <v>5832.9</v>
      </c>
      <c r="F10" s="116">
        <v>705.7</v>
      </c>
      <c r="G10" s="116">
        <v>0</v>
      </c>
      <c r="H10" s="116">
        <v>5127.1999999999989</v>
      </c>
      <c r="I10" s="116">
        <v>896.1</v>
      </c>
      <c r="J10" s="116">
        <v>0</v>
      </c>
      <c r="K10" s="116">
        <v>6630</v>
      </c>
      <c r="L10" s="116">
        <v>2372</v>
      </c>
      <c r="M10" s="116">
        <v>5377</v>
      </c>
      <c r="N10" s="116">
        <v>4479</v>
      </c>
      <c r="O10" s="116">
        <v>749</v>
      </c>
      <c r="P10" s="116">
        <v>44</v>
      </c>
      <c r="Q10" s="116">
        <v>105</v>
      </c>
      <c r="R10" s="116">
        <v>457</v>
      </c>
      <c r="S10" s="116">
        <v>318</v>
      </c>
      <c r="T10" s="116">
        <v>11</v>
      </c>
      <c r="U10" s="116">
        <v>4988</v>
      </c>
      <c r="V10" s="116">
        <v>2943</v>
      </c>
      <c r="W10" s="116">
        <v>1349</v>
      </c>
      <c r="X10" s="116">
        <v>1062</v>
      </c>
      <c r="Y10" s="116">
        <v>-2648</v>
      </c>
      <c r="Z10" s="116">
        <v>-2181</v>
      </c>
      <c r="AA10" s="116">
        <v>-511</v>
      </c>
      <c r="AB10" s="116">
        <v>2280</v>
      </c>
      <c r="AC10" s="116">
        <v>1954</v>
      </c>
      <c r="AD10" s="116">
        <v>368</v>
      </c>
      <c r="AE10" s="116">
        <v>598</v>
      </c>
      <c r="AF10" s="116">
        <v>230</v>
      </c>
      <c r="AG10" s="116">
        <v>203</v>
      </c>
      <c r="AH10" s="116">
        <v>177</v>
      </c>
      <c r="AI10" s="116">
        <v>50</v>
      </c>
      <c r="AJ10" s="116">
        <v>238</v>
      </c>
      <c r="AK10" s="116">
        <v>99</v>
      </c>
      <c r="AL10" s="116">
        <v>166</v>
      </c>
      <c r="AM10" s="116">
        <v>49</v>
      </c>
      <c r="AN10" s="116">
        <v>95</v>
      </c>
      <c r="AO10" s="116">
        <v>4999.8999999999996</v>
      </c>
      <c r="AP10" s="116">
        <v>724</v>
      </c>
      <c r="AQ10" s="116">
        <v>47</v>
      </c>
      <c r="AR10" s="116">
        <f t="shared" si="0"/>
        <v>771</v>
      </c>
      <c r="AS10" s="116" t="s">
        <v>110</v>
      </c>
      <c r="AT10" s="116">
        <v>78.063000000000002</v>
      </c>
      <c r="AU10" s="116">
        <v>4.46</v>
      </c>
      <c r="AV10" s="116">
        <v>2.3660000000000001</v>
      </c>
      <c r="AW10" s="116">
        <v>56892.039691923026</v>
      </c>
      <c r="AX10" s="116">
        <v>3182618.3198043886</v>
      </c>
      <c r="AY10" s="116">
        <v>451.52412453907164</v>
      </c>
      <c r="AZ10" s="116">
        <v>1671.8073819284589</v>
      </c>
      <c r="BA10" s="158">
        <v>9.1503672042041018E-2</v>
      </c>
      <c r="BB10" s="116">
        <v>3236</v>
      </c>
      <c r="BC10" s="116">
        <v>2551.4</v>
      </c>
      <c r="BD10" s="116">
        <v>5787</v>
      </c>
      <c r="BE10" s="116">
        <v>5393</v>
      </c>
      <c r="BF10" s="116" t="s">
        <v>110</v>
      </c>
      <c r="BG10" s="116">
        <v>11</v>
      </c>
      <c r="BH10" s="116">
        <v>119</v>
      </c>
      <c r="BI10" s="116" t="s">
        <v>110</v>
      </c>
      <c r="BJ10" s="116" t="s">
        <v>110</v>
      </c>
      <c r="BK10" s="115">
        <v>5.5865921787707773E-3</v>
      </c>
      <c r="BL10" s="116">
        <v>0.6055984780775715</v>
      </c>
      <c r="BM10" s="116">
        <v>59.167235635393723</v>
      </c>
      <c r="BN10" s="116">
        <v>123.87</v>
      </c>
      <c r="BO10" s="116">
        <v>33.375</v>
      </c>
      <c r="BP10" s="116">
        <v>2.7756360833665101</v>
      </c>
      <c r="BQ10" s="116">
        <v>2296921</v>
      </c>
      <c r="BR10" s="82">
        <v>-29.734000000000002</v>
      </c>
      <c r="BS10" s="82">
        <v>-11.148999999999999</v>
      </c>
      <c r="BT10" s="82">
        <v>50.356000000000002</v>
      </c>
      <c r="BU10" s="82">
        <v>61.505000000000003</v>
      </c>
      <c r="BV10" s="82">
        <v>13.724</v>
      </c>
      <c r="BW10" s="82">
        <v>17.498999999999999</v>
      </c>
      <c r="BX10" s="82">
        <v>-3.7749999999999999</v>
      </c>
      <c r="BY10" s="82" t="s">
        <v>110</v>
      </c>
      <c r="BZ10" s="82" t="s">
        <v>110</v>
      </c>
      <c r="CA10" s="82" t="s">
        <v>110</v>
      </c>
      <c r="CB10" s="82">
        <v>5.31</v>
      </c>
      <c r="CC10" s="82">
        <v>6.1050000000000004</v>
      </c>
      <c r="CD10" s="82">
        <v>-0.79500000000000004</v>
      </c>
      <c r="CE10" s="82">
        <v>-4.2309999999999999</v>
      </c>
      <c r="CF10" s="154">
        <v>103.25</v>
      </c>
      <c r="CG10" s="154">
        <v>676.51825333333329</v>
      </c>
      <c r="CH10" s="154">
        <v>54.16</v>
      </c>
      <c r="CI10" s="154">
        <v>65.7</v>
      </c>
      <c r="CJ10" s="154">
        <v>1041.1145924370333</v>
      </c>
      <c r="CK10" s="154" t="s">
        <v>357</v>
      </c>
      <c r="CL10" s="154">
        <v>221</v>
      </c>
      <c r="CM10" s="154">
        <v>55.556486395200004</v>
      </c>
      <c r="CN10" s="154">
        <v>2.23</v>
      </c>
    </row>
    <row r="11" spans="1:98">
      <c r="A11" s="157">
        <v>1968</v>
      </c>
      <c r="B11" s="116">
        <v>9275</v>
      </c>
      <c r="C11" s="116">
        <v>3054</v>
      </c>
      <c r="D11" s="116">
        <v>6737</v>
      </c>
      <c r="E11" s="116">
        <v>6295.1</v>
      </c>
      <c r="F11" s="116">
        <v>728.5</v>
      </c>
      <c r="G11" s="116">
        <v>0</v>
      </c>
      <c r="H11" s="116">
        <v>5567.3</v>
      </c>
      <c r="I11" s="116">
        <v>966.9</v>
      </c>
      <c r="J11" s="116">
        <v>0</v>
      </c>
      <c r="K11" s="116">
        <v>7395</v>
      </c>
      <c r="L11" s="116">
        <v>2600</v>
      </c>
      <c r="M11" s="116">
        <v>5910</v>
      </c>
      <c r="N11" s="116">
        <v>5032</v>
      </c>
      <c r="O11" s="116">
        <v>794</v>
      </c>
      <c r="P11" s="116">
        <v>43</v>
      </c>
      <c r="Q11" s="116">
        <v>41</v>
      </c>
      <c r="R11" s="116">
        <v>786</v>
      </c>
      <c r="S11" s="116">
        <v>706</v>
      </c>
      <c r="T11" s="116">
        <v>3</v>
      </c>
      <c r="U11" s="116">
        <v>5657</v>
      </c>
      <c r="V11" s="116">
        <v>2755</v>
      </c>
      <c r="W11" s="116">
        <v>1720</v>
      </c>
      <c r="X11" s="116">
        <v>1372</v>
      </c>
      <c r="Y11" s="116">
        <v>-2991</v>
      </c>
      <c r="Z11" s="116">
        <v>-1425</v>
      </c>
      <c r="AA11" s="116">
        <v>-1360</v>
      </c>
      <c r="AB11" s="116">
        <v>2607</v>
      </c>
      <c r="AC11" s="116">
        <v>1504</v>
      </c>
      <c r="AD11" s="116">
        <v>883</v>
      </c>
      <c r="AE11" s="116">
        <v>1005</v>
      </c>
      <c r="AF11" s="116">
        <v>122</v>
      </c>
      <c r="AG11" s="116">
        <v>90</v>
      </c>
      <c r="AH11" s="116">
        <v>-162</v>
      </c>
      <c r="AI11" s="116">
        <v>219</v>
      </c>
      <c r="AJ11" s="116">
        <v>390</v>
      </c>
      <c r="AK11" s="116">
        <v>106</v>
      </c>
      <c r="AL11" s="116">
        <v>294</v>
      </c>
      <c r="AM11" s="116">
        <v>3</v>
      </c>
      <c r="AN11" s="116">
        <v>258</v>
      </c>
      <c r="AO11" s="116">
        <v>4861.1000000000004</v>
      </c>
      <c r="AP11" s="116">
        <v>695</v>
      </c>
      <c r="AQ11" s="116">
        <v>46</v>
      </c>
      <c r="AR11" s="116">
        <f t="shared" si="0"/>
        <v>741</v>
      </c>
      <c r="AS11" s="116" t="s">
        <v>110</v>
      </c>
      <c r="AT11" s="116">
        <v>100.02</v>
      </c>
      <c r="AU11" s="116">
        <v>6.8019999999999996</v>
      </c>
      <c r="AV11" s="116">
        <v>2.6040000000000001</v>
      </c>
      <c r="AW11" s="116">
        <v>60103.576598544991</v>
      </c>
      <c r="AX11" s="116">
        <v>3326697.8012297112</v>
      </c>
      <c r="AY11" s="116">
        <v>477.01251268686502</v>
      </c>
      <c r="AZ11" s="116">
        <v>1747.4913365932089</v>
      </c>
      <c r="BA11" s="158">
        <v>4.527073841332574E-2</v>
      </c>
      <c r="BB11" s="116">
        <v>3547</v>
      </c>
      <c r="BC11" s="116">
        <v>2929</v>
      </c>
      <c r="BD11" s="116">
        <v>6476</v>
      </c>
      <c r="BE11" s="116">
        <v>5901</v>
      </c>
      <c r="BF11" s="116" t="s">
        <v>110</v>
      </c>
      <c r="BG11" s="116">
        <v>9.8569999999999993</v>
      </c>
      <c r="BH11" s="116">
        <v>-196</v>
      </c>
      <c r="BI11" s="116" t="s">
        <v>110</v>
      </c>
      <c r="BJ11" s="116" t="s">
        <v>110</v>
      </c>
      <c r="BK11" s="115">
        <v>2.6851851851851904E-2</v>
      </c>
      <c r="BL11" s="116">
        <v>0.60988656089009652</v>
      </c>
      <c r="BM11" s="116">
        <v>60.455363023940912</v>
      </c>
      <c r="BN11" s="116">
        <v>123.6</v>
      </c>
      <c r="BO11" s="116">
        <v>34.792000000000002</v>
      </c>
      <c r="BP11" s="116">
        <v>4.2177210965389902</v>
      </c>
      <c r="BQ11" s="116">
        <v>2358792</v>
      </c>
      <c r="BR11" s="82">
        <v>-36.295000000000002</v>
      </c>
      <c r="BS11" s="82">
        <v>-23.536000000000001</v>
      </c>
      <c r="BT11" s="82">
        <v>49.962000000000003</v>
      </c>
      <c r="BU11" s="82">
        <v>73.498000000000005</v>
      </c>
      <c r="BV11" s="82">
        <v>10.247</v>
      </c>
      <c r="BW11" s="82">
        <v>12.038</v>
      </c>
      <c r="BX11" s="82">
        <v>-1.7909999999999999</v>
      </c>
      <c r="BY11" s="82" t="s">
        <v>110</v>
      </c>
      <c r="BZ11" s="82" t="s">
        <v>110</v>
      </c>
      <c r="CA11" s="82" t="s">
        <v>110</v>
      </c>
      <c r="CB11" s="82">
        <v>14.252000000000001</v>
      </c>
      <c r="CC11" s="82">
        <v>15.205</v>
      </c>
      <c r="CD11" s="82">
        <v>-0.95299999999999996</v>
      </c>
      <c r="CE11" s="82">
        <v>-3.2549999999999999</v>
      </c>
      <c r="CF11" s="154">
        <v>97.166666666666671</v>
      </c>
      <c r="CG11" s="154">
        <v>678.02473000000009</v>
      </c>
      <c r="CH11" s="154">
        <v>47.51</v>
      </c>
      <c r="CI11" s="154">
        <v>62.8</v>
      </c>
      <c r="CJ11" s="154">
        <v>1085.0233234173666</v>
      </c>
      <c r="CK11" s="154" t="s">
        <v>357</v>
      </c>
      <c r="CL11" s="154">
        <v>204.66</v>
      </c>
      <c r="CM11" s="154">
        <v>67.902372260800007</v>
      </c>
      <c r="CN11" s="154">
        <v>2.23</v>
      </c>
    </row>
    <row r="12" spans="1:98">
      <c r="A12" s="157">
        <v>1969</v>
      </c>
      <c r="B12" s="116">
        <v>10414.5</v>
      </c>
      <c r="C12" s="116"/>
      <c r="D12" s="116">
        <v>7984.3</v>
      </c>
      <c r="E12" s="116">
        <v>7775.5</v>
      </c>
      <c r="F12" s="116">
        <v>1126.0999999999999</v>
      </c>
      <c r="G12" s="116">
        <v>0</v>
      </c>
      <c r="H12" s="116">
        <v>6649.4</v>
      </c>
      <c r="I12" s="116">
        <v>733</v>
      </c>
      <c r="J12" s="116">
        <v>0</v>
      </c>
      <c r="K12" s="116">
        <v>7847.5</v>
      </c>
      <c r="L12" s="116"/>
      <c r="M12" s="116">
        <v>6526.7</v>
      </c>
      <c r="N12" s="116">
        <v>5186.6000000000004</v>
      </c>
      <c r="O12" s="116">
        <v>863.90000000000009</v>
      </c>
      <c r="P12" s="116">
        <v>47.8</v>
      </c>
      <c r="Q12" s="116">
        <v>158.4</v>
      </c>
      <c r="R12" s="116">
        <v>579.9</v>
      </c>
      <c r="S12" s="116">
        <v>388.4</v>
      </c>
      <c r="T12" s="116">
        <v>0</v>
      </c>
      <c r="U12" s="116">
        <v>3937.8</v>
      </c>
      <c r="V12" s="116">
        <v>1577.7</v>
      </c>
      <c r="W12" s="116">
        <v>1445.6</v>
      </c>
      <c r="X12" s="116">
        <v>1240</v>
      </c>
      <c r="Y12" s="116">
        <v>-790.9</v>
      </c>
      <c r="Z12" s="116">
        <v>-636.9</v>
      </c>
      <c r="AA12" s="116">
        <v>21.9</v>
      </c>
      <c r="AB12" s="116">
        <v>1373.7</v>
      </c>
      <c r="AC12" s="116">
        <v>710.6</v>
      </c>
      <c r="AD12" s="116">
        <v>448.3</v>
      </c>
      <c r="AE12" s="116">
        <v>659.2</v>
      </c>
      <c r="AF12" s="116">
        <v>233.4</v>
      </c>
      <c r="AG12" s="116">
        <v>-510.6</v>
      </c>
      <c r="AH12" s="116">
        <v>151</v>
      </c>
      <c r="AI12" s="116">
        <v>-651.79999999999995</v>
      </c>
      <c r="AJ12" s="116">
        <v>340</v>
      </c>
      <c r="AK12" s="116">
        <v>163.1</v>
      </c>
      <c r="AL12" s="116">
        <v>-73.599999999999994</v>
      </c>
      <c r="AM12" s="116">
        <v>-224.7</v>
      </c>
      <c r="AN12" s="116">
        <v>180.2</v>
      </c>
      <c r="AO12" s="116">
        <v>5453.4</v>
      </c>
      <c r="AP12" s="116">
        <v>746</v>
      </c>
      <c r="AQ12" s="116">
        <v>58.1</v>
      </c>
      <c r="AR12" s="116">
        <f t="shared" si="0"/>
        <v>804.1</v>
      </c>
      <c r="AS12" s="116" t="s">
        <v>110</v>
      </c>
      <c r="AT12" s="116">
        <v>121.334</v>
      </c>
      <c r="AU12" s="116">
        <v>6.8879999999999999</v>
      </c>
      <c r="AV12" s="116">
        <v>3.59</v>
      </c>
      <c r="AW12" s="116">
        <v>64603.847218767427</v>
      </c>
      <c r="AX12" s="116">
        <v>3483090.9017626471</v>
      </c>
      <c r="AY12" s="116">
        <v>512.72894618069381</v>
      </c>
      <c r="AZ12" s="116">
        <v>1829.6435501736648</v>
      </c>
      <c r="BA12" s="158">
        <v>4.7011514083162398E-2</v>
      </c>
      <c r="BB12" s="116">
        <v>3713</v>
      </c>
      <c r="BC12" s="116">
        <v>2997.5</v>
      </c>
      <c r="BD12" s="116">
        <v>6710.7999999999993</v>
      </c>
      <c r="BE12" s="116">
        <v>6173</v>
      </c>
      <c r="BF12" s="116" t="s">
        <v>110</v>
      </c>
      <c r="BG12" s="116">
        <v>8.91</v>
      </c>
      <c r="BH12" s="116">
        <v>-507</v>
      </c>
      <c r="BI12" s="116" t="s">
        <v>110</v>
      </c>
      <c r="BJ12" s="116" t="s">
        <v>110</v>
      </c>
      <c r="BK12" s="115">
        <v>-2.7051397655546428E-3</v>
      </c>
      <c r="BL12" s="116">
        <v>0.62358978205186111</v>
      </c>
      <c r="BM12" s="116">
        <v>61.290870178492305</v>
      </c>
      <c r="BN12" s="116">
        <v>123.6</v>
      </c>
      <c r="BO12" s="116">
        <v>36.683</v>
      </c>
      <c r="BP12" s="116">
        <v>5.4147004724046504</v>
      </c>
      <c r="BQ12" s="116">
        <v>2421386</v>
      </c>
      <c r="BR12" s="82">
        <v>-37.97</v>
      </c>
      <c r="BS12" s="82">
        <v>-26.047000000000001</v>
      </c>
      <c r="BT12" s="82">
        <v>55.155999999999999</v>
      </c>
      <c r="BU12" s="82">
        <v>81.203000000000003</v>
      </c>
      <c r="BV12" s="82">
        <v>26.312000000000001</v>
      </c>
      <c r="BW12" s="82">
        <v>22.696999999999999</v>
      </c>
      <c r="BX12" s="82">
        <v>3.516</v>
      </c>
      <c r="BY12" s="82" t="s">
        <v>110</v>
      </c>
      <c r="BZ12" s="82" t="s">
        <v>110</v>
      </c>
      <c r="CA12" s="82" t="s">
        <v>110</v>
      </c>
      <c r="CB12" s="82">
        <v>9.9179999999999993</v>
      </c>
      <c r="CC12" s="82">
        <v>8.952</v>
      </c>
      <c r="CD12" s="82">
        <v>0.96599999999999997</v>
      </c>
      <c r="CE12" s="82">
        <v>-3.1219999999999999</v>
      </c>
      <c r="CF12" s="154">
        <v>94.416666666666671</v>
      </c>
      <c r="CG12" s="154">
        <v>613.48506499999996</v>
      </c>
      <c r="CH12" s="154">
        <v>51.97</v>
      </c>
      <c r="CI12" s="154">
        <v>58.4</v>
      </c>
      <c r="CJ12" s="154">
        <v>1222.8673437292668</v>
      </c>
      <c r="CK12" s="154" t="s">
        <v>357</v>
      </c>
      <c r="CL12" s="154">
        <v>185.08</v>
      </c>
      <c r="CM12" s="154">
        <v>63.493127308799998</v>
      </c>
      <c r="CN12" s="154">
        <v>2.23</v>
      </c>
    </row>
    <row r="13" spans="1:98">
      <c r="A13" s="157">
        <v>1970</v>
      </c>
      <c r="B13" s="116">
        <v>10820</v>
      </c>
      <c r="C13" s="116">
        <v>4196</v>
      </c>
      <c r="D13" s="116">
        <v>8266</v>
      </c>
      <c r="E13" s="116">
        <v>7826</v>
      </c>
      <c r="F13" s="116">
        <v>1203.2</v>
      </c>
      <c r="G13" s="116">
        <v>0</v>
      </c>
      <c r="H13" s="116">
        <v>6622.7999999999993</v>
      </c>
      <c r="I13" s="116">
        <v>957.8</v>
      </c>
      <c r="J13" s="116">
        <v>0</v>
      </c>
      <c r="K13" s="116">
        <v>8719</v>
      </c>
      <c r="L13" s="116">
        <v>3820</v>
      </c>
      <c r="M13" s="116">
        <v>6851</v>
      </c>
      <c r="N13" s="116">
        <v>5655</v>
      </c>
      <c r="O13" s="116">
        <v>948</v>
      </c>
      <c r="P13" s="116">
        <v>47</v>
      </c>
      <c r="Q13" s="116">
        <v>201</v>
      </c>
      <c r="R13" s="116">
        <v>969</v>
      </c>
      <c r="S13" s="116">
        <v>762</v>
      </c>
      <c r="T13" s="116">
        <v>6</v>
      </c>
      <c r="U13" s="116">
        <v>3524</v>
      </c>
      <c r="V13" s="116">
        <v>1554</v>
      </c>
      <c r="W13" s="116">
        <v>1125</v>
      </c>
      <c r="X13" s="116">
        <v>907</v>
      </c>
      <c r="Y13" s="116">
        <v>-454</v>
      </c>
      <c r="Z13" s="116">
        <v>-136</v>
      </c>
      <c r="AA13" s="116">
        <v>-82</v>
      </c>
      <c r="AB13" s="116">
        <v>751</v>
      </c>
      <c r="AC13" s="116">
        <v>267</v>
      </c>
      <c r="AD13" s="116">
        <v>284</v>
      </c>
      <c r="AE13" s="116">
        <v>281</v>
      </c>
      <c r="AF13" s="116">
        <v>281</v>
      </c>
      <c r="AG13" s="116">
        <v>75</v>
      </c>
      <c r="AH13" s="116">
        <v>140</v>
      </c>
      <c r="AI13" s="116">
        <v>-103</v>
      </c>
      <c r="AJ13" s="116">
        <v>62</v>
      </c>
      <c r="AK13" s="116">
        <v>155</v>
      </c>
      <c r="AL13" s="116">
        <v>-372</v>
      </c>
      <c r="AM13" s="116">
        <v>-271</v>
      </c>
      <c r="AN13" s="116">
        <v>-99</v>
      </c>
      <c r="AO13" s="116">
        <v>5380</v>
      </c>
      <c r="AP13" s="116">
        <v>599</v>
      </c>
      <c r="AQ13" s="116">
        <v>57</v>
      </c>
      <c r="AR13" s="116">
        <f t="shared" si="0"/>
        <v>656</v>
      </c>
      <c r="AS13" s="116" t="s">
        <v>110</v>
      </c>
      <c r="AT13" s="116">
        <v>146.977</v>
      </c>
      <c r="AU13" s="116">
        <v>7.7350000000000003</v>
      </c>
      <c r="AV13" s="116">
        <v>4.306</v>
      </c>
      <c r="AW13" s="116">
        <v>69143.520389176221</v>
      </c>
      <c r="AX13" s="116">
        <v>3676521.768305101</v>
      </c>
      <c r="AY13" s="116">
        <v>548.75809832679533</v>
      </c>
      <c r="AZ13" s="116">
        <v>1931.2514459638105</v>
      </c>
      <c r="BA13" s="158">
        <v>5.5534257358763384E-2</v>
      </c>
      <c r="BB13" s="116">
        <v>4320</v>
      </c>
      <c r="BC13" s="116">
        <v>3887</v>
      </c>
      <c r="BD13" s="116">
        <v>8207</v>
      </c>
      <c r="BE13" s="116">
        <v>7199</v>
      </c>
      <c r="BF13" s="116" t="s">
        <v>110</v>
      </c>
      <c r="BG13" s="116">
        <v>17.296999999999997</v>
      </c>
      <c r="BH13" s="116">
        <v>172</v>
      </c>
      <c r="BI13" s="116" t="s">
        <v>110</v>
      </c>
      <c r="BJ13" s="116" t="s">
        <v>110</v>
      </c>
      <c r="BK13" s="115">
        <v>2.2603978300180794E-2</v>
      </c>
      <c r="BL13" s="116">
        <v>0.61822967853620481</v>
      </c>
      <c r="BM13" s="116">
        <v>63.964354526646346</v>
      </c>
      <c r="BN13" s="116">
        <v>123.6</v>
      </c>
      <c r="BO13" s="116">
        <v>38.841999999999999</v>
      </c>
      <c r="BP13" s="116">
        <v>5.8952959026688196</v>
      </c>
      <c r="BQ13" s="116">
        <v>2484172</v>
      </c>
      <c r="BR13" s="82">
        <v>-21.57</v>
      </c>
      <c r="BS13" s="82">
        <v>-11.318</v>
      </c>
      <c r="BT13" s="82">
        <v>65.269000000000005</v>
      </c>
      <c r="BU13" s="82">
        <v>76.587000000000003</v>
      </c>
      <c r="BV13" s="82">
        <v>18.015000000000001</v>
      </c>
      <c r="BW13" s="82">
        <v>11.686999999999999</v>
      </c>
      <c r="BX13" s="82">
        <v>6.3280000000000003</v>
      </c>
      <c r="BY13" s="82" t="s">
        <v>110</v>
      </c>
      <c r="BZ13" s="82" t="s">
        <v>110</v>
      </c>
      <c r="CA13" s="82" t="s">
        <v>110</v>
      </c>
      <c r="CB13" s="82">
        <v>6.5439999999999996</v>
      </c>
      <c r="CC13" s="82">
        <v>7.0810000000000004</v>
      </c>
      <c r="CD13" s="82">
        <v>-0.53700000000000003</v>
      </c>
      <c r="CE13" s="82">
        <v>5.45</v>
      </c>
      <c r="CF13" s="154">
        <v>107.33333333333333</v>
      </c>
      <c r="CG13" s="154">
        <v>637.75403666666671</v>
      </c>
      <c r="CH13" s="154">
        <v>58.26</v>
      </c>
      <c r="CI13" s="154">
        <v>54.9</v>
      </c>
      <c r="CJ13" s="154">
        <v>1304.2914005095333</v>
      </c>
      <c r="CK13" s="154" t="s">
        <v>357</v>
      </c>
      <c r="CL13" s="154">
        <v>143</v>
      </c>
      <c r="CM13" s="154">
        <v>96.121539953600006</v>
      </c>
      <c r="CN13" s="154">
        <v>2.23</v>
      </c>
    </row>
    <row r="14" spans="1:98">
      <c r="A14" s="157">
        <v>1971</v>
      </c>
      <c r="B14" s="116">
        <v>11106</v>
      </c>
      <c r="C14" s="116">
        <v>4280</v>
      </c>
      <c r="D14" s="116">
        <v>8346</v>
      </c>
      <c r="E14" s="116">
        <v>7876.3</v>
      </c>
      <c r="F14" s="116">
        <v>1289</v>
      </c>
      <c r="G14" s="116">
        <v>0</v>
      </c>
      <c r="H14" s="116">
        <v>6587.2999999999993</v>
      </c>
      <c r="I14" s="116">
        <v>1032.5999999999999</v>
      </c>
      <c r="J14" s="116">
        <v>0</v>
      </c>
      <c r="K14" s="116">
        <v>9247</v>
      </c>
      <c r="L14" s="116">
        <v>3935</v>
      </c>
      <c r="M14" s="116">
        <v>7124</v>
      </c>
      <c r="N14" s="116">
        <v>5896</v>
      </c>
      <c r="O14" s="116">
        <v>992</v>
      </c>
      <c r="P14" s="116">
        <v>45</v>
      </c>
      <c r="Q14" s="116">
        <v>187</v>
      </c>
      <c r="R14" s="116">
        <v>898</v>
      </c>
      <c r="S14" s="116">
        <v>592</v>
      </c>
      <c r="T14" s="116">
        <v>9</v>
      </c>
      <c r="U14" s="116">
        <v>4047</v>
      </c>
      <c r="V14" s="116">
        <v>1982</v>
      </c>
      <c r="W14" s="116">
        <v>1368</v>
      </c>
      <c r="X14" s="116">
        <v>1090</v>
      </c>
      <c r="Y14" s="116">
        <v>-1290</v>
      </c>
      <c r="Z14" s="116">
        <v>-815</v>
      </c>
      <c r="AA14" s="116">
        <v>-429</v>
      </c>
      <c r="AB14" s="116">
        <v>798</v>
      </c>
      <c r="AC14" s="116">
        <v>507</v>
      </c>
      <c r="AD14" s="116">
        <v>261</v>
      </c>
      <c r="AE14" s="116">
        <v>280</v>
      </c>
      <c r="AF14" s="116">
        <v>280</v>
      </c>
      <c r="AG14" s="116">
        <v>398</v>
      </c>
      <c r="AH14" s="116">
        <v>203</v>
      </c>
      <c r="AI14" s="116">
        <v>215</v>
      </c>
      <c r="AJ14" s="116">
        <v>28</v>
      </c>
      <c r="AK14" s="116">
        <v>141</v>
      </c>
      <c r="AL14" s="116">
        <v>94</v>
      </c>
      <c r="AM14" s="116">
        <v>105</v>
      </c>
      <c r="AN14" s="116">
        <v>-47</v>
      </c>
      <c r="AO14" s="116">
        <v>5754</v>
      </c>
      <c r="AP14" s="116">
        <v>761</v>
      </c>
      <c r="AQ14" s="116">
        <v>59</v>
      </c>
      <c r="AR14" s="116">
        <f t="shared" si="0"/>
        <v>820</v>
      </c>
      <c r="AS14" s="116" t="s">
        <v>110</v>
      </c>
      <c r="AT14" s="116">
        <v>165.71299999999999</v>
      </c>
      <c r="AU14" s="116">
        <v>7.8250000000000002</v>
      </c>
      <c r="AV14" s="116">
        <v>5.6429999999999998</v>
      </c>
      <c r="AW14" s="116">
        <v>76739.957949324438</v>
      </c>
      <c r="AX14" s="116">
        <v>3880133.1298964876</v>
      </c>
      <c r="AY14" s="116">
        <v>609.04728531209878</v>
      </c>
      <c r="AZ14" s="116">
        <v>2038.207085361345</v>
      </c>
      <c r="BA14" s="158">
        <v>5.5381519387889488E-2</v>
      </c>
      <c r="BB14" s="116">
        <v>4796</v>
      </c>
      <c r="BC14" s="116">
        <v>4343</v>
      </c>
      <c r="BD14" s="116">
        <v>9139</v>
      </c>
      <c r="BE14" s="116">
        <v>7962</v>
      </c>
      <c r="BF14" s="116" t="s">
        <v>110</v>
      </c>
      <c r="BG14" s="116">
        <v>20.247</v>
      </c>
      <c r="BH14" s="116">
        <v>1060</v>
      </c>
      <c r="BI14" s="116" t="s">
        <v>110</v>
      </c>
      <c r="BJ14" s="116" t="s">
        <v>110</v>
      </c>
      <c r="BK14" s="115">
        <v>6.2776304155614637E-2</v>
      </c>
      <c r="BL14" s="116">
        <v>0.64885218296912761</v>
      </c>
      <c r="BM14" s="116">
        <v>62.779873195703892</v>
      </c>
      <c r="BN14" s="116">
        <v>123.6</v>
      </c>
      <c r="BO14" s="116">
        <v>40.482999999999997</v>
      </c>
      <c r="BP14" s="116">
        <v>4.2559289244299796</v>
      </c>
      <c r="BQ14" s="116">
        <v>2546201</v>
      </c>
      <c r="BR14" s="82">
        <v>-30.065000000000001</v>
      </c>
      <c r="BS14" s="82">
        <v>-16.581</v>
      </c>
      <c r="BT14" s="82">
        <v>66.453000000000003</v>
      </c>
      <c r="BU14" s="82">
        <v>83.034000000000006</v>
      </c>
      <c r="BV14" s="82">
        <v>22.664999999999999</v>
      </c>
      <c r="BW14" s="82">
        <v>18.731000000000002</v>
      </c>
      <c r="BX14" s="82">
        <v>3.9340000000000002</v>
      </c>
      <c r="BY14" s="82" t="s">
        <v>110</v>
      </c>
      <c r="BZ14" s="82" t="s">
        <v>110</v>
      </c>
      <c r="CA14" s="82" t="s">
        <v>110</v>
      </c>
      <c r="CB14" s="82">
        <v>6.9059999999999997</v>
      </c>
      <c r="CC14" s="82">
        <v>7.16</v>
      </c>
      <c r="CD14" s="82">
        <v>-0.254</v>
      </c>
      <c r="CE14" s="82">
        <v>7.96</v>
      </c>
      <c r="CF14" s="154">
        <v>115.41666666666667</v>
      </c>
      <c r="CG14" s="154">
        <v>746.99955856633335</v>
      </c>
      <c r="CH14" s="154">
        <v>58.3</v>
      </c>
      <c r="CI14" s="154">
        <v>61.7</v>
      </c>
      <c r="CJ14" s="154">
        <v>1345.8485341821336</v>
      </c>
      <c r="CK14" s="154" t="s">
        <v>357</v>
      </c>
      <c r="CL14" s="154">
        <v>130.33000000000001</v>
      </c>
      <c r="CM14" s="154">
        <v>176.14933583240003</v>
      </c>
      <c r="CN14" s="154">
        <v>3.2050000000000001</v>
      </c>
    </row>
    <row r="15" spans="1:98">
      <c r="A15" s="157">
        <v>1972</v>
      </c>
      <c r="B15" s="116">
        <v>11998</v>
      </c>
      <c r="C15" s="116">
        <v>4546</v>
      </c>
      <c r="D15" s="116">
        <v>8950</v>
      </c>
      <c r="E15" s="116">
        <v>8017.9</v>
      </c>
      <c r="F15" s="116">
        <v>1405.4</v>
      </c>
      <c r="G15" s="116">
        <v>0</v>
      </c>
      <c r="H15" s="116">
        <v>6612.4999999999991</v>
      </c>
      <c r="I15" s="116">
        <v>1460.5</v>
      </c>
      <c r="J15" s="116">
        <v>0</v>
      </c>
      <c r="K15" s="116">
        <v>10497</v>
      </c>
      <c r="L15" s="116">
        <v>4208</v>
      </c>
      <c r="M15" s="116">
        <v>8118</v>
      </c>
      <c r="N15" s="116">
        <v>6664</v>
      </c>
      <c r="O15" s="116">
        <v>1087</v>
      </c>
      <c r="P15" s="116">
        <v>45</v>
      </c>
      <c r="Q15" s="116">
        <v>522</v>
      </c>
      <c r="R15" s="116">
        <v>1020</v>
      </c>
      <c r="S15" s="116">
        <v>558</v>
      </c>
      <c r="T15" s="116">
        <v>0</v>
      </c>
      <c r="U15" s="116">
        <v>4872</v>
      </c>
      <c r="V15" s="116">
        <v>2525</v>
      </c>
      <c r="W15" s="116">
        <v>1520</v>
      </c>
      <c r="X15" s="116">
        <v>1297</v>
      </c>
      <c r="Y15" s="116">
        <v>-2351</v>
      </c>
      <c r="Z15" s="116">
        <v>-1410</v>
      </c>
      <c r="AA15" s="116">
        <v>-968</v>
      </c>
      <c r="AB15" s="116">
        <v>1361</v>
      </c>
      <c r="AC15" s="116">
        <v>1033</v>
      </c>
      <c r="AD15" s="116">
        <v>289</v>
      </c>
      <c r="AE15" s="116">
        <v>488</v>
      </c>
      <c r="AF15" s="116">
        <v>407</v>
      </c>
      <c r="AG15" s="116">
        <v>1141</v>
      </c>
      <c r="AH15" s="116">
        <v>275</v>
      </c>
      <c r="AI15" s="116">
        <v>810</v>
      </c>
      <c r="AJ15" s="116">
        <v>1012</v>
      </c>
      <c r="AK15" s="116">
        <v>163</v>
      </c>
      <c r="AL15" s="116">
        <v>-151</v>
      </c>
      <c r="AM15" s="116">
        <v>102</v>
      </c>
      <c r="AN15" s="116">
        <v>-131</v>
      </c>
      <c r="AO15" s="116">
        <v>7061.1</v>
      </c>
      <c r="AP15" s="116">
        <v>988</v>
      </c>
      <c r="AQ15" s="116">
        <v>70</v>
      </c>
      <c r="AR15" s="116">
        <f t="shared" si="0"/>
        <v>1058</v>
      </c>
      <c r="AS15" s="116" t="s">
        <v>110</v>
      </c>
      <c r="AT15" s="116">
        <v>181.43600000000001</v>
      </c>
      <c r="AU15" s="116">
        <v>10.464</v>
      </c>
      <c r="AV15" s="116">
        <v>7.0179999999999998</v>
      </c>
      <c r="AW15" s="116">
        <v>87858.757669864892</v>
      </c>
      <c r="AX15" s="116">
        <v>4137436.3002019459</v>
      </c>
      <c r="AY15" s="116">
        <v>697.29172753861019</v>
      </c>
      <c r="AZ15" s="116">
        <v>2173.3666603670904</v>
      </c>
      <c r="BA15" s="158">
        <v>6.6312974759276333E-2</v>
      </c>
      <c r="BB15" s="116">
        <v>5593</v>
      </c>
      <c r="BC15" s="116">
        <v>5943</v>
      </c>
      <c r="BD15" s="116">
        <v>11536</v>
      </c>
      <c r="BE15" s="116">
        <v>9517</v>
      </c>
      <c r="BF15" s="116" t="s">
        <v>110</v>
      </c>
      <c r="BG15" s="116">
        <v>30.631999999999998</v>
      </c>
      <c r="BH15" s="116">
        <v>3664</v>
      </c>
      <c r="BI15" s="116" t="s">
        <v>110</v>
      </c>
      <c r="BJ15" s="116" t="s">
        <v>110</v>
      </c>
      <c r="BK15" s="115">
        <v>9.4841930116472462E-2</v>
      </c>
      <c r="BL15" s="116">
        <v>0.70841924638659359</v>
      </c>
      <c r="BM15" s="116">
        <v>59.287615826865668</v>
      </c>
      <c r="BN15" s="116">
        <v>123.6</v>
      </c>
      <c r="BO15" s="116">
        <v>41.808</v>
      </c>
      <c r="BP15" s="116">
        <v>3.3056147346065798</v>
      </c>
      <c r="BQ15" s="116">
        <v>2607829</v>
      </c>
      <c r="BR15" s="82">
        <v>-11.836</v>
      </c>
      <c r="BS15" s="82">
        <v>6.8380000000000001</v>
      </c>
      <c r="BT15" s="82">
        <v>85.53</v>
      </c>
      <c r="BU15" s="82">
        <v>78.691999999999993</v>
      </c>
      <c r="BV15" s="82">
        <v>13.896000000000001</v>
      </c>
      <c r="BW15" s="82">
        <v>17.609000000000002</v>
      </c>
      <c r="BX15" s="82">
        <v>-3.7130000000000001</v>
      </c>
      <c r="BY15" s="82" t="s">
        <v>110</v>
      </c>
      <c r="BZ15" s="82" t="s">
        <v>110</v>
      </c>
      <c r="CA15" s="82" t="s">
        <v>110</v>
      </c>
      <c r="CB15" s="82">
        <v>2.7069999999999999</v>
      </c>
      <c r="CC15" s="82">
        <v>2.8180000000000001</v>
      </c>
      <c r="CD15" s="82">
        <v>-0.111</v>
      </c>
      <c r="CE15" s="82">
        <v>11.88</v>
      </c>
      <c r="CF15" s="154">
        <v>128.66666666666666</v>
      </c>
      <c r="CG15" s="154">
        <v>799.39608441559994</v>
      </c>
      <c r="CH15" s="154">
        <v>55.74</v>
      </c>
      <c r="CI15" s="154">
        <v>69.8</v>
      </c>
      <c r="CJ15" s="154">
        <v>1480.2753896562333</v>
      </c>
      <c r="CK15" s="154" t="s">
        <v>357</v>
      </c>
      <c r="CL15" s="154">
        <v>149.91</v>
      </c>
      <c r="CM15" s="154">
        <v>220.46224760000001</v>
      </c>
      <c r="CN15" s="154">
        <v>3.6141666666666663</v>
      </c>
    </row>
    <row r="16" spans="1:98">
      <c r="A16" s="157">
        <v>1973</v>
      </c>
      <c r="B16" s="116">
        <v>14834</v>
      </c>
      <c r="C16" s="116">
        <v>5124</v>
      </c>
      <c r="D16" s="116">
        <v>11056</v>
      </c>
      <c r="E16" s="116">
        <v>10211.1</v>
      </c>
      <c r="F16" s="116">
        <v>1685</v>
      </c>
      <c r="G16" s="116">
        <v>0</v>
      </c>
      <c r="H16" s="116">
        <v>8526.1</v>
      </c>
      <c r="I16" s="116">
        <v>1378.8</v>
      </c>
      <c r="J16" s="116">
        <v>0</v>
      </c>
      <c r="K16" s="116">
        <v>11426</v>
      </c>
      <c r="L16" s="116">
        <v>4536</v>
      </c>
      <c r="M16" s="116">
        <v>8974</v>
      </c>
      <c r="N16" s="116">
        <v>7306</v>
      </c>
      <c r="O16" s="116">
        <v>1365</v>
      </c>
      <c r="P16" s="116">
        <v>56</v>
      </c>
      <c r="Q16" s="116">
        <v>247</v>
      </c>
      <c r="R16" s="116">
        <v>826</v>
      </c>
      <c r="S16" s="116">
        <v>375</v>
      </c>
      <c r="T16" s="116">
        <v>0</v>
      </c>
      <c r="U16" s="116">
        <v>5363</v>
      </c>
      <c r="V16" s="116">
        <v>2885</v>
      </c>
      <c r="W16" s="116">
        <v>1580</v>
      </c>
      <c r="X16" s="116">
        <v>1388</v>
      </c>
      <c r="Y16" s="116">
        <v>-1129</v>
      </c>
      <c r="Z16" s="116">
        <v>-1611</v>
      </c>
      <c r="AA16" s="116">
        <v>136</v>
      </c>
      <c r="AB16" s="116">
        <v>1963</v>
      </c>
      <c r="AC16" s="116">
        <v>1618</v>
      </c>
      <c r="AD16" s="116">
        <v>302</v>
      </c>
      <c r="AE16" s="116">
        <v>538</v>
      </c>
      <c r="AF16" s="116">
        <v>379</v>
      </c>
      <c r="AG16" s="116">
        <v>-304</v>
      </c>
      <c r="AH16" s="116">
        <v>47</v>
      </c>
      <c r="AI16" s="116">
        <v>-284</v>
      </c>
      <c r="AJ16" s="116">
        <v>0</v>
      </c>
      <c r="AK16" s="116">
        <v>191</v>
      </c>
      <c r="AL16" s="116">
        <v>-530</v>
      </c>
      <c r="AM16" s="116">
        <v>-54</v>
      </c>
      <c r="AN16" s="116">
        <v>-154</v>
      </c>
      <c r="AO16" s="116">
        <v>6915.3</v>
      </c>
      <c r="AP16" s="116">
        <v>1042</v>
      </c>
      <c r="AQ16" s="116">
        <v>84</v>
      </c>
      <c r="AR16" s="116">
        <f t="shared" si="0"/>
        <v>1126</v>
      </c>
      <c r="AS16" s="116" t="s">
        <v>110</v>
      </c>
      <c r="AT16" s="116">
        <v>195.39500000000001</v>
      </c>
      <c r="AU16" s="116">
        <v>11.259</v>
      </c>
      <c r="AV16" s="116">
        <v>6.8959999999999999</v>
      </c>
      <c r="AW16" s="116">
        <v>112058.98952764735</v>
      </c>
      <c r="AX16" s="116">
        <v>4439585.5323656304</v>
      </c>
      <c r="AY16" s="116">
        <v>889.35705974323298</v>
      </c>
      <c r="AZ16" s="116">
        <v>2332.0835613639747</v>
      </c>
      <c r="BA16" s="158">
        <v>7.3028129073295034E-2</v>
      </c>
      <c r="BB16" s="116">
        <v>7112</v>
      </c>
      <c r="BC16" s="116">
        <v>7472</v>
      </c>
      <c r="BD16" s="116">
        <v>14584</v>
      </c>
      <c r="BE16" s="116">
        <v>12534</v>
      </c>
      <c r="BF16" s="116" t="s">
        <v>110</v>
      </c>
      <c r="BG16" s="116">
        <v>53.155999999999999</v>
      </c>
      <c r="BH16" s="116">
        <v>5387</v>
      </c>
      <c r="BI16" s="116" t="s">
        <v>110</v>
      </c>
      <c r="BJ16" s="116" t="s">
        <v>110</v>
      </c>
      <c r="BK16" s="115">
        <v>0.14133738601823698</v>
      </c>
      <c r="BL16" s="116">
        <v>0.79935456776959513</v>
      </c>
      <c r="BM16" s="116">
        <v>57.355860570888026</v>
      </c>
      <c r="BN16" s="116">
        <v>123.6</v>
      </c>
      <c r="BO16" s="116">
        <v>44.424999999999997</v>
      </c>
      <c r="BP16" s="116">
        <v>6.2200638637109602</v>
      </c>
      <c r="BQ16" s="116">
        <v>2670477</v>
      </c>
      <c r="BR16" s="82">
        <v>-15.699</v>
      </c>
      <c r="BS16" s="82">
        <v>0.753</v>
      </c>
      <c r="BT16" s="82">
        <v>128.023</v>
      </c>
      <c r="BU16" s="82">
        <v>127.27</v>
      </c>
      <c r="BV16" s="82">
        <v>34.188000000000002</v>
      </c>
      <c r="BW16" s="82">
        <v>24.684999999999999</v>
      </c>
      <c r="BX16" s="82">
        <v>9.5030000000000001</v>
      </c>
      <c r="BY16" s="82" t="s">
        <v>110</v>
      </c>
      <c r="BZ16" s="82" t="s">
        <v>110</v>
      </c>
      <c r="CA16" s="82" t="s">
        <v>110</v>
      </c>
      <c r="CB16" s="82">
        <v>1.849</v>
      </c>
      <c r="CC16" s="82">
        <v>4.952</v>
      </c>
      <c r="CD16" s="82">
        <v>-3.1030000000000002</v>
      </c>
      <c r="CE16" s="82">
        <v>21.17</v>
      </c>
      <c r="CF16" s="154">
        <v>266.5</v>
      </c>
      <c r="CG16" s="154">
        <v>1368.7765644718665</v>
      </c>
      <c r="CH16" s="154">
        <v>97.47</v>
      </c>
      <c r="CI16" s="154">
        <v>139.80000000000001</v>
      </c>
      <c r="CJ16" s="154">
        <v>2010.3584921564664</v>
      </c>
      <c r="CK16" s="154" t="s">
        <v>357</v>
      </c>
      <c r="CL16" s="154">
        <v>296.58</v>
      </c>
      <c r="CM16" s="154">
        <v>271.82995129080001</v>
      </c>
      <c r="CN16" s="154">
        <v>4.2508333333333335</v>
      </c>
    </row>
    <row r="17" spans="1:10" hidden="1">
      <c r="A17" s="156"/>
      <c r="B17" s="156"/>
      <c r="C17" s="156"/>
      <c r="D17" s="156"/>
      <c r="E17" s="156"/>
      <c r="F17" s="156"/>
      <c r="G17" s="156"/>
      <c r="H17" s="156"/>
      <c r="I17" s="156"/>
      <c r="J17" s="92"/>
    </row>
    <row r="18" spans="1:10" hidden="1">
      <c r="A18" s="156"/>
      <c r="B18" s="156"/>
      <c r="C18" s="156"/>
      <c r="D18" s="156"/>
      <c r="E18" s="156"/>
      <c r="F18" s="156"/>
      <c r="G18" s="156"/>
      <c r="H18" s="156"/>
      <c r="I18" s="156"/>
      <c r="J18" s="92"/>
    </row>
    <row r="19" spans="1:10" hidden="1">
      <c r="A19" s="156"/>
      <c r="B19" s="156"/>
      <c r="C19" s="156"/>
      <c r="D19" s="156"/>
      <c r="E19" s="156"/>
      <c r="F19" s="156"/>
      <c r="G19" s="156"/>
      <c r="H19" s="156"/>
      <c r="I19" s="156"/>
      <c r="J19" s="92"/>
    </row>
    <row r="20" spans="1:10" hidden="1">
      <c r="A20" s="156"/>
      <c r="B20" s="156"/>
      <c r="C20" s="156"/>
      <c r="D20" s="156"/>
      <c r="E20" s="156"/>
      <c r="F20" s="156"/>
      <c r="G20" s="156"/>
      <c r="H20" s="156"/>
      <c r="I20" s="156"/>
      <c r="J20" s="92"/>
    </row>
    <row r="21" spans="1:10" hidden="1">
      <c r="A21" s="153"/>
      <c r="B21" s="153"/>
      <c r="C21" s="153"/>
      <c r="D21" s="153"/>
      <c r="E21" s="153"/>
      <c r="F21" s="153"/>
      <c r="G21" s="153"/>
      <c r="H21" s="153"/>
      <c r="I21" s="153"/>
      <c r="J21" s="92"/>
    </row>
    <row r="22" spans="1:10" hidden="1">
      <c r="A22" s="153"/>
      <c r="B22" s="153"/>
      <c r="C22" s="153"/>
      <c r="D22" s="153"/>
      <c r="E22" s="153"/>
      <c r="F22" s="153"/>
      <c r="G22" s="153"/>
      <c r="H22" s="153"/>
      <c r="I22" s="153"/>
      <c r="J22" s="92"/>
    </row>
    <row r="23" spans="1:10" hidden="1">
      <c r="A23" s="153"/>
      <c r="B23" s="153"/>
      <c r="C23" s="153"/>
      <c r="D23" s="153"/>
      <c r="E23" s="153"/>
      <c r="F23" s="153"/>
      <c r="G23" s="153"/>
      <c r="H23" s="153"/>
      <c r="I23" s="153"/>
      <c r="J23" s="92"/>
    </row>
    <row r="24" spans="1:10" hidden="1">
      <c r="A24" s="153"/>
      <c r="B24" s="153"/>
      <c r="C24" s="153"/>
      <c r="D24" s="153"/>
      <c r="E24" s="153"/>
      <c r="F24" s="153"/>
      <c r="G24" s="153"/>
      <c r="H24" s="153"/>
      <c r="I24" s="153"/>
      <c r="J24" s="92"/>
    </row>
    <row r="25" spans="1:10" hidden="1">
      <c r="A25" s="153"/>
      <c r="B25" s="153"/>
      <c r="C25" s="153"/>
      <c r="D25" s="153"/>
      <c r="E25" s="153"/>
      <c r="F25" s="153"/>
      <c r="G25" s="153"/>
      <c r="H25" s="153"/>
      <c r="I25" s="153"/>
    </row>
    <row r="26" spans="1:10" hidden="1">
      <c r="A26" s="153"/>
      <c r="B26" s="153"/>
      <c r="C26" s="153"/>
      <c r="D26" s="153"/>
      <c r="E26" s="153"/>
      <c r="F26" s="153"/>
      <c r="G26" s="153"/>
      <c r="H26" s="153"/>
      <c r="I26" s="153"/>
    </row>
    <row r="27" spans="1:10" hidden="1">
      <c r="A27" s="153"/>
      <c r="B27" s="153"/>
      <c r="C27" s="153"/>
      <c r="D27" s="153"/>
      <c r="E27" s="153"/>
      <c r="F27" s="153"/>
      <c r="G27" s="153"/>
      <c r="H27" s="153"/>
      <c r="I27" s="153"/>
    </row>
    <row r="28" spans="1:10" hidden="1">
      <c r="A28" s="153"/>
      <c r="B28" s="153"/>
      <c r="C28" s="153"/>
      <c r="D28" s="153"/>
      <c r="E28" s="153"/>
      <c r="F28" s="153"/>
      <c r="G28" s="153"/>
      <c r="H28" s="153"/>
      <c r="I28" s="153"/>
    </row>
    <row r="29" spans="1:10" hidden="1">
      <c r="A29" s="153"/>
      <c r="B29" s="153"/>
      <c r="C29" s="153"/>
      <c r="D29" s="153"/>
      <c r="E29" s="153"/>
      <c r="F29" s="153"/>
      <c r="G29" s="153"/>
      <c r="H29" s="153"/>
      <c r="I29" s="153"/>
    </row>
    <row r="30" spans="1:10" hidden="1">
      <c r="A30" s="153"/>
      <c r="B30" s="153"/>
      <c r="C30" s="153"/>
      <c r="D30" s="153"/>
      <c r="E30" s="153"/>
      <c r="F30" s="153"/>
      <c r="G30" s="153"/>
      <c r="H30" s="153"/>
      <c r="I30" s="153"/>
    </row>
    <row r="31" spans="1:10" hidden="1">
      <c r="A31" s="153"/>
      <c r="B31" s="153"/>
      <c r="C31" s="153"/>
      <c r="D31" s="153"/>
      <c r="E31" s="153"/>
      <c r="F31" s="153"/>
      <c r="G31" s="153"/>
      <c r="H31" s="153"/>
      <c r="I31" s="153"/>
    </row>
    <row r="32" spans="1:10" hidden="1">
      <c r="A32" s="153"/>
      <c r="B32" s="153"/>
      <c r="C32" s="153"/>
      <c r="D32" s="153"/>
      <c r="E32" s="153"/>
      <c r="F32" s="153"/>
      <c r="G32" s="153"/>
      <c r="H32" s="153"/>
      <c r="I32" s="153"/>
    </row>
    <row r="33" spans="1:9" hidden="1">
      <c r="A33" s="153"/>
      <c r="B33" s="153"/>
      <c r="C33" s="153"/>
      <c r="D33" s="153"/>
      <c r="E33" s="153"/>
      <c r="F33" s="153"/>
      <c r="G33" s="153"/>
      <c r="H33" s="153"/>
      <c r="I33" s="153"/>
    </row>
    <row r="34" spans="1:9" hidden="1">
      <c r="A34" s="153"/>
      <c r="B34" s="153"/>
      <c r="C34" s="153"/>
      <c r="D34" s="153"/>
      <c r="E34" s="153"/>
      <c r="F34" s="153"/>
      <c r="G34" s="153"/>
      <c r="H34" s="153"/>
      <c r="I34" s="153"/>
    </row>
    <row r="35" spans="1:9" hidden="1">
      <c r="A35" s="153"/>
      <c r="B35" s="153"/>
      <c r="C35" s="153"/>
      <c r="D35" s="153"/>
      <c r="E35" s="153"/>
      <c r="F35" s="153"/>
      <c r="G35" s="153"/>
      <c r="H35" s="153"/>
      <c r="I35" s="153"/>
    </row>
    <row r="36" spans="1:9" hidden="1">
      <c r="A36" s="153"/>
      <c r="B36" s="153"/>
      <c r="C36" s="153"/>
      <c r="D36" s="153"/>
      <c r="E36" s="153"/>
      <c r="F36" s="153"/>
      <c r="G36" s="153"/>
      <c r="H36" s="153"/>
      <c r="I36" s="153"/>
    </row>
    <row r="37" spans="1:9" hidden="1">
      <c r="A37" s="153"/>
      <c r="B37" s="153"/>
      <c r="C37" s="153"/>
      <c r="D37" s="153"/>
      <c r="E37" s="153"/>
      <c r="F37" s="153"/>
      <c r="G37" s="153"/>
      <c r="H37" s="153"/>
      <c r="I37" s="153"/>
    </row>
    <row r="38" spans="1:9" hidden="1">
      <c r="A38" s="153"/>
      <c r="B38" s="153"/>
      <c r="C38" s="153"/>
      <c r="D38" s="153"/>
      <c r="E38" s="153"/>
      <c r="F38" s="153"/>
      <c r="G38" s="153"/>
      <c r="H38" s="153"/>
      <c r="I38" s="153"/>
    </row>
    <row r="39" spans="1:9" hidden="1">
      <c r="A39" s="153"/>
      <c r="B39" s="153"/>
      <c r="C39" s="153"/>
      <c r="D39" s="153"/>
      <c r="E39" s="153"/>
      <c r="F39" s="153"/>
      <c r="G39" s="153"/>
      <c r="H39" s="153"/>
      <c r="I39" s="153"/>
    </row>
    <row r="40" spans="1:9" hidden="1">
      <c r="A40" s="153"/>
      <c r="B40" s="153"/>
      <c r="C40" s="153"/>
      <c r="D40" s="153"/>
      <c r="E40" s="153"/>
      <c r="F40" s="153"/>
      <c r="G40" s="153"/>
      <c r="H40" s="153"/>
      <c r="I40" s="153"/>
    </row>
    <row r="41" spans="1:9" hidden="1">
      <c r="A41" s="153"/>
      <c r="B41" s="153"/>
      <c r="C41" s="153"/>
      <c r="D41" s="153"/>
      <c r="E41" s="153"/>
      <c r="F41" s="153"/>
      <c r="G41" s="153"/>
      <c r="H41" s="153"/>
      <c r="I41" s="153"/>
    </row>
    <row r="42" spans="1:9" hidden="1">
      <c r="A42" s="153"/>
      <c r="B42" s="153"/>
      <c r="C42" s="153"/>
      <c r="D42" s="153"/>
      <c r="E42" s="153"/>
      <c r="F42" s="153"/>
      <c r="G42" s="153"/>
      <c r="H42" s="153"/>
      <c r="I42" s="153"/>
    </row>
    <row r="43" spans="1:9" hidden="1">
      <c r="A43" s="153"/>
      <c r="B43" s="153"/>
      <c r="C43" s="153"/>
      <c r="D43" s="153"/>
      <c r="E43" s="153"/>
      <c r="F43" s="153"/>
      <c r="G43" s="153"/>
      <c r="H43" s="153"/>
      <c r="I43" s="153"/>
    </row>
    <row r="44" spans="1:9" hidden="1">
      <c r="A44" s="153"/>
      <c r="B44" s="153"/>
      <c r="C44" s="153"/>
      <c r="D44" s="153"/>
      <c r="E44" s="153"/>
      <c r="F44" s="153"/>
      <c r="G44" s="153"/>
      <c r="H44" s="153"/>
      <c r="I44" s="153"/>
    </row>
    <row r="45" spans="1:9" hidden="1">
      <c r="A45" s="153"/>
      <c r="B45" s="153"/>
      <c r="C45" s="153"/>
      <c r="D45" s="153"/>
      <c r="E45" s="153"/>
      <c r="F45" s="153"/>
      <c r="G45" s="153"/>
      <c r="H45" s="153"/>
      <c r="I45" s="153"/>
    </row>
    <row r="46" spans="1:9" hidden="1">
      <c r="A46" s="153"/>
      <c r="B46" s="153"/>
      <c r="C46" s="153"/>
      <c r="D46" s="153"/>
      <c r="E46" s="153"/>
      <c r="F46" s="153"/>
      <c r="G46" s="153"/>
      <c r="H46" s="153"/>
      <c r="I46" s="153"/>
    </row>
    <row r="47" spans="1:9" hidden="1">
      <c r="A47" s="153"/>
      <c r="B47" s="153"/>
      <c r="C47" s="153"/>
      <c r="D47" s="153"/>
      <c r="E47" s="153"/>
      <c r="F47" s="153"/>
      <c r="G47" s="153"/>
      <c r="H47" s="153"/>
      <c r="I47" s="153"/>
    </row>
    <row r="48" spans="1:9" hidden="1">
      <c r="A48" s="153"/>
      <c r="B48" s="153"/>
      <c r="C48" s="153"/>
      <c r="D48" s="153"/>
      <c r="E48" s="153"/>
      <c r="F48" s="153"/>
      <c r="G48" s="153"/>
      <c r="H48" s="153"/>
      <c r="I48" s="153"/>
    </row>
    <row r="49" spans="1:17" hidden="1">
      <c r="A49" s="153"/>
      <c r="B49" s="153"/>
      <c r="C49" s="153"/>
      <c r="D49" s="153"/>
      <c r="E49" s="153"/>
      <c r="F49" s="153"/>
      <c r="G49" s="153"/>
      <c r="H49" s="153"/>
      <c r="I49" s="153"/>
    </row>
    <row r="50" spans="1:17" hidden="1">
      <c r="A50" s="153"/>
      <c r="B50" s="153"/>
      <c r="C50" s="153"/>
      <c r="D50" s="153"/>
      <c r="E50" s="153"/>
      <c r="F50" s="153"/>
      <c r="G50" s="153"/>
      <c r="H50" s="153"/>
      <c r="I50" s="153"/>
    </row>
    <row r="51" spans="1:17" hidden="1">
      <c r="A51" s="153"/>
      <c r="B51" s="153"/>
      <c r="C51" s="153"/>
      <c r="D51" s="153"/>
      <c r="E51" s="153"/>
      <c r="F51" s="153"/>
      <c r="G51" s="153"/>
      <c r="H51" s="153"/>
      <c r="I51" s="153"/>
    </row>
    <row r="52" spans="1:17" hidden="1">
      <c r="A52" s="153"/>
      <c r="B52" s="153"/>
      <c r="C52" s="153"/>
      <c r="D52" s="153"/>
      <c r="E52" s="153"/>
      <c r="F52" s="153"/>
      <c r="G52" s="153"/>
      <c r="H52" s="153"/>
      <c r="I52" s="153"/>
    </row>
    <row r="53" spans="1:17" hidden="1">
      <c r="A53" s="153"/>
      <c r="B53" s="153"/>
      <c r="C53" s="153"/>
      <c r="D53" s="153"/>
      <c r="E53" s="153"/>
      <c r="F53" s="153"/>
      <c r="G53" s="153"/>
      <c r="H53" s="153"/>
      <c r="I53" s="153"/>
    </row>
    <row r="54" spans="1:17" hidden="1">
      <c r="A54" s="153"/>
      <c r="B54" s="153"/>
      <c r="C54" s="153"/>
      <c r="D54" s="153"/>
      <c r="E54" s="153"/>
      <c r="F54" s="153"/>
      <c r="G54" s="153"/>
      <c r="H54" s="153"/>
      <c r="I54" s="153"/>
    </row>
    <row r="55" spans="1:17" hidden="1">
      <c r="A55" s="153"/>
      <c r="B55" s="153"/>
      <c r="C55" s="153"/>
      <c r="D55" s="153"/>
      <c r="E55" s="153"/>
      <c r="F55" s="153"/>
      <c r="G55" s="153"/>
      <c r="H55" s="153"/>
      <c r="I55" s="153"/>
    </row>
    <row r="56" spans="1:17" hidden="1">
      <c r="A56" s="153"/>
      <c r="B56" s="153"/>
      <c r="C56" s="153"/>
      <c r="D56" s="153"/>
      <c r="E56" s="153"/>
      <c r="F56" s="153"/>
      <c r="G56" s="153"/>
      <c r="H56" s="153"/>
      <c r="I56" s="153"/>
    </row>
    <row r="57" spans="1:17" hidden="1">
      <c r="A57" s="153"/>
      <c r="B57" s="153"/>
      <c r="C57" s="153"/>
      <c r="D57" s="153"/>
      <c r="E57" s="153"/>
      <c r="F57" s="153"/>
      <c r="G57" s="153"/>
      <c r="H57" s="153"/>
      <c r="I57" s="153"/>
    </row>
    <row r="58" spans="1:17" hidden="1">
      <c r="A58" s="92"/>
      <c r="B58" s="92"/>
      <c r="C58" s="92"/>
      <c r="D58" s="92"/>
      <c r="E58" s="92"/>
      <c r="F58" s="92"/>
      <c r="G58" s="92"/>
      <c r="H58" s="92"/>
      <c r="I58" s="92"/>
    </row>
    <row r="61" spans="1:17">
      <c r="P61" s="159">
        <f>P5/AW3</f>
        <v>5.0028295632718617E-4</v>
      </c>
      <c r="Q61" s="159">
        <f>Q5/AX3</f>
        <v>1.7899772936038977E-5</v>
      </c>
    </row>
    <row r="62" spans="1:17">
      <c r="P62" s="159">
        <f t="shared" ref="P62:P72" si="1">P6/AW4</f>
        <v>3.5641631528161356E-4</v>
      </c>
      <c r="Q62" s="159">
        <f t="shared" ref="Q62:Q72" si="2">Q6/AX4</f>
        <v>2.6372373318420984E-5</v>
      </c>
    </row>
    <row r="63" spans="1:17">
      <c r="P63" s="159">
        <f t="shared" si="1"/>
        <v>4.6510595956949363E-4</v>
      </c>
      <c r="Q63" s="159">
        <f t="shared" si="2"/>
        <v>2.917694074877772E-5</v>
      </c>
    </row>
    <row r="64" spans="1:17">
      <c r="P64" s="159">
        <f t="shared" si="1"/>
        <v>7.5967853490189292E-4</v>
      </c>
      <c r="Q64" s="159">
        <f t="shared" si="2"/>
        <v>2.4768394884677028E-5</v>
      </c>
    </row>
    <row r="65" spans="16:17">
      <c r="P65" s="159">
        <f t="shared" si="1"/>
        <v>8.4257252159090511E-4</v>
      </c>
      <c r="Q65" s="159">
        <f t="shared" si="2"/>
        <v>1.4483141573287363E-5</v>
      </c>
    </row>
    <row r="66" spans="16:17">
      <c r="P66" s="159">
        <f t="shared" si="1"/>
        <v>8.7273290881456709E-4</v>
      </c>
      <c r="Q66" s="159">
        <f t="shared" si="2"/>
        <v>3.6727717143487636E-5</v>
      </c>
    </row>
    <row r="67" spans="16:17">
      <c r="P67" s="159">
        <f t="shared" si="1"/>
        <v>8.0927077004686152E-4</v>
      </c>
      <c r="Q67" s="159">
        <f t="shared" si="2"/>
        <v>1.4061268445307707E-5</v>
      </c>
    </row>
    <row r="68" spans="16:17">
      <c r="P68" s="159">
        <f t="shared" si="1"/>
        <v>8.401878410203347E-4</v>
      </c>
      <c r="Q68" s="159">
        <f t="shared" si="2"/>
        <v>4.9770341298649864E-5</v>
      </c>
    </row>
    <row r="69" spans="16:17">
      <c r="P69" s="159">
        <f t="shared" si="1"/>
        <v>7.8198341363162394E-4</v>
      </c>
      <c r="Q69" s="159">
        <f t="shared" si="2"/>
        <v>6.042027620473988E-5</v>
      </c>
    </row>
    <row r="70" spans="16:17">
      <c r="P70" s="159">
        <f t="shared" si="1"/>
        <v>6.9655294440309264E-4</v>
      </c>
      <c r="Q70" s="159">
        <f t="shared" si="2"/>
        <v>5.3687947077512995E-5</v>
      </c>
    </row>
    <row r="71" spans="16:17">
      <c r="P71" s="159">
        <f t="shared" si="1"/>
        <v>6.5082020334973189E-4</v>
      </c>
      <c r="Q71" s="159">
        <f t="shared" si="2"/>
        <v>1.4198202347123466E-4</v>
      </c>
    </row>
    <row r="72" spans="16:17">
      <c r="P72" s="159">
        <f t="shared" si="1"/>
        <v>7.2973717338990253E-4</v>
      </c>
      <c r="Q72" s="159">
        <f t="shared" si="2"/>
        <v>6.3657609605418191E-5</v>
      </c>
    </row>
  </sheetData>
  <pageMargins left="0.7" right="0.7" top="0.75" bottom="0.75" header="0.3" footer="0.3"/>
  <pageSetup orientation="portrait" r:id="rId1"/>
  <drawing r:id="rId2"/>
  <legacyDrawing r:id="rId3"/>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4">
    <tabColor rgb="FFFF0000"/>
  </sheetPr>
  <dimension ref="A1:AQ286"/>
  <sheetViews>
    <sheetView topLeftCell="A4" zoomScale="85" zoomScaleNormal="85" zoomScalePageLayoutView="85" workbookViewId="0">
      <pane xSplit="1" topLeftCell="P1" activePane="topRight" state="frozen"/>
      <selection pane="topRight" activeCell="AB21" sqref="AB21"/>
    </sheetView>
  </sheetViews>
  <sheetFormatPr defaultColWidth="11.44140625" defaultRowHeight="15.6"/>
  <cols>
    <col min="1" max="1" width="11.44140625" style="80"/>
    <col min="2" max="4" width="15.109375" style="80" customWidth="1"/>
    <col min="5" max="6" width="15.109375" style="95" customWidth="1"/>
    <col min="7" max="27" width="15.109375" style="80" customWidth="1"/>
    <col min="28" max="28" width="15.109375" style="238" customWidth="1"/>
    <col min="29" max="36" width="15.109375" style="80" customWidth="1"/>
    <col min="37" max="42" width="11.44140625" style="80"/>
    <col min="43" max="43" width="12.44140625" style="80" customWidth="1"/>
    <col min="44" max="16384" width="11.44140625" style="80"/>
  </cols>
  <sheetData>
    <row r="1" spans="1:43" ht="15.75" customHeight="1">
      <c r="A1" s="463" t="s">
        <v>71</v>
      </c>
      <c r="B1" s="463"/>
      <c r="C1" s="463"/>
      <c r="D1" s="463"/>
      <c r="J1" s="463" t="s">
        <v>194</v>
      </c>
      <c r="K1" s="463"/>
      <c r="L1" s="463"/>
      <c r="M1" s="96"/>
      <c r="N1" s="96"/>
      <c r="O1" s="96"/>
      <c r="P1" s="96"/>
      <c r="Q1" s="96"/>
      <c r="R1" s="96">
        <v>-1</v>
      </c>
      <c r="S1" s="96"/>
      <c r="T1" s="96"/>
      <c r="U1" s="96"/>
      <c r="V1" s="96"/>
      <c r="W1" s="96"/>
      <c r="X1" s="96"/>
      <c r="Y1" s="96"/>
      <c r="Z1" s="96"/>
      <c r="AA1" s="96" t="s">
        <v>49</v>
      </c>
      <c r="AB1" s="96"/>
      <c r="AC1" s="96"/>
      <c r="AD1" s="96"/>
      <c r="AE1" s="96"/>
      <c r="AF1" s="96" t="s">
        <v>220</v>
      </c>
      <c r="AG1" s="96"/>
      <c r="AH1" s="96"/>
      <c r="AI1" s="96"/>
      <c r="AJ1" s="96" t="s">
        <v>213</v>
      </c>
      <c r="AL1" s="464" t="s">
        <v>232</v>
      </c>
      <c r="AM1" s="464"/>
      <c r="AN1" s="464"/>
      <c r="AO1" s="464"/>
      <c r="AP1" s="464"/>
      <c r="AQ1" s="92"/>
    </row>
    <row r="2" spans="1:43" ht="43.5" customHeight="1">
      <c r="A2" s="83" t="s">
        <v>88</v>
      </c>
      <c r="B2" s="83" t="s">
        <v>89</v>
      </c>
      <c r="C2" s="83" t="s">
        <v>202</v>
      </c>
      <c r="D2" s="83" t="s">
        <v>14</v>
      </c>
      <c r="E2" s="97" t="s">
        <v>192</v>
      </c>
      <c r="F2" s="97" t="s">
        <v>205</v>
      </c>
      <c r="G2" s="112" t="s">
        <v>198</v>
      </c>
      <c r="H2" s="112" t="s">
        <v>201</v>
      </c>
      <c r="I2" s="112" t="s">
        <v>199</v>
      </c>
      <c r="J2" s="83" t="s">
        <v>200</v>
      </c>
      <c r="K2" s="83" t="s">
        <v>203</v>
      </c>
      <c r="L2" s="83" t="s">
        <v>204</v>
      </c>
      <c r="M2" s="83" t="s">
        <v>196</v>
      </c>
      <c r="N2" s="83" t="s">
        <v>206</v>
      </c>
      <c r="O2" s="111" t="s">
        <v>218</v>
      </c>
      <c r="P2" s="83" t="s">
        <v>212</v>
      </c>
      <c r="Q2" s="98" t="s">
        <v>211</v>
      </c>
      <c r="R2" s="111" t="s">
        <v>211</v>
      </c>
      <c r="S2" s="98" t="s">
        <v>195</v>
      </c>
      <c r="T2" s="84" t="s">
        <v>209</v>
      </c>
      <c r="U2" s="110" t="s">
        <v>224</v>
      </c>
      <c r="V2" s="84" t="s">
        <v>210</v>
      </c>
      <c r="W2" s="110" t="s">
        <v>225</v>
      </c>
      <c r="X2" s="83" t="s">
        <v>219</v>
      </c>
      <c r="Y2" s="84" t="s">
        <v>214</v>
      </c>
      <c r="Z2" s="84" t="s">
        <v>215</v>
      </c>
      <c r="AA2" s="84" t="s">
        <v>217</v>
      </c>
      <c r="AB2" s="84"/>
      <c r="AC2" s="83" t="s">
        <v>216</v>
      </c>
      <c r="AD2" s="98" t="s">
        <v>222</v>
      </c>
      <c r="AE2" s="111" t="s">
        <v>226</v>
      </c>
      <c r="AF2" s="83" t="s">
        <v>221</v>
      </c>
      <c r="AG2" s="111" t="s">
        <v>227</v>
      </c>
      <c r="AH2" s="83" t="s">
        <v>207</v>
      </c>
      <c r="AI2" s="97" t="s">
        <v>208</v>
      </c>
      <c r="AJ2" s="83" t="s">
        <v>223</v>
      </c>
      <c r="AK2" s="83" t="s">
        <v>170</v>
      </c>
      <c r="AL2" s="114" t="s">
        <v>228</v>
      </c>
      <c r="AM2" s="114" t="s">
        <v>231</v>
      </c>
      <c r="AN2" s="114" t="s">
        <v>230</v>
      </c>
      <c r="AO2" s="114" t="s">
        <v>229</v>
      </c>
      <c r="AP2" s="114" t="s">
        <v>233</v>
      </c>
      <c r="AQ2" s="231" t="s">
        <v>0</v>
      </c>
    </row>
    <row r="3" spans="1:43">
      <c r="A3" s="99">
        <v>1960</v>
      </c>
      <c r="B3" s="100">
        <v>1719.6</v>
      </c>
      <c r="C3" s="100">
        <v>2080</v>
      </c>
      <c r="D3" s="100"/>
      <c r="E3" s="100">
        <v>31981.901037491996</v>
      </c>
      <c r="F3" s="100"/>
      <c r="G3" s="101">
        <f t="shared" ref="G3:G34" si="0">B3/E3</f>
        <v>5.3767910731264336E-2</v>
      </c>
      <c r="H3" s="101">
        <f t="shared" ref="H3:H34" si="1">C3/E3</f>
        <v>6.5036784322534208E-2</v>
      </c>
      <c r="I3" s="101"/>
      <c r="J3" s="101"/>
      <c r="K3" s="101"/>
      <c r="L3" s="101"/>
      <c r="M3" s="102">
        <v>75.618277297673444</v>
      </c>
      <c r="N3" s="102">
        <v>-12.664</v>
      </c>
      <c r="O3" s="102"/>
      <c r="P3" s="102">
        <v>-7.3259999999999996</v>
      </c>
      <c r="Q3" s="102"/>
      <c r="R3" s="102"/>
      <c r="S3" s="103">
        <v>7.3259999999999996</v>
      </c>
      <c r="T3" s="102">
        <v>36.545999999999999</v>
      </c>
      <c r="U3" s="102"/>
      <c r="V3" s="102">
        <v>43.872</v>
      </c>
      <c r="W3" s="102"/>
      <c r="X3" s="102">
        <v>3.9529999999999998</v>
      </c>
      <c r="Y3" s="102">
        <v>2.6890000000000001</v>
      </c>
      <c r="Z3" s="102">
        <v>1.264</v>
      </c>
      <c r="AA3" s="102"/>
      <c r="AB3" s="102"/>
      <c r="AC3" s="102">
        <v>6.3109999999999999</v>
      </c>
      <c r="AD3" s="102"/>
      <c r="AE3" s="102"/>
      <c r="AF3" s="104">
        <v>-3.3</v>
      </c>
      <c r="AG3" s="104"/>
      <c r="AH3" s="86">
        <v>-2.472</v>
      </c>
      <c r="AI3" s="105"/>
      <c r="AJ3" s="86">
        <v>99.991909385113274</v>
      </c>
      <c r="AK3" s="102">
        <v>75.618277297673444</v>
      </c>
      <c r="AL3" s="82" t="s">
        <v>110</v>
      </c>
      <c r="AM3" s="82" t="s">
        <v>110</v>
      </c>
      <c r="AN3" s="82" t="s">
        <v>110</v>
      </c>
      <c r="AO3" s="82" t="s">
        <v>110</v>
      </c>
      <c r="AP3" s="82" t="s">
        <v>110</v>
      </c>
      <c r="AQ3" s="115">
        <v>8.1632653061219917E-2</v>
      </c>
    </row>
    <row r="4" spans="1:43">
      <c r="A4" s="99">
        <v>1961</v>
      </c>
      <c r="B4" s="100">
        <v>2083.1</v>
      </c>
      <c r="C4" s="100">
        <v>2772</v>
      </c>
      <c r="D4" s="100"/>
      <c r="E4" s="100">
        <v>36474.200093024279</v>
      </c>
      <c r="F4" s="100"/>
      <c r="G4" s="101">
        <f t="shared" si="0"/>
        <v>5.7111602027933014E-2</v>
      </c>
      <c r="H4" s="101">
        <f t="shared" si="1"/>
        <v>7.599892507389483E-2</v>
      </c>
      <c r="I4" s="101"/>
      <c r="J4" s="101">
        <f>G4-G3</f>
        <v>3.3436912966686785E-3</v>
      </c>
      <c r="K4" s="101">
        <f>H4-H3</f>
        <v>1.0962140751360622E-2</v>
      </c>
      <c r="L4" s="101"/>
      <c r="M4" s="102">
        <v>64.113499214504969</v>
      </c>
      <c r="N4" s="102">
        <v>-13.159000000000001</v>
      </c>
      <c r="O4" s="102"/>
      <c r="P4" s="102">
        <v>-4.6929999999999996</v>
      </c>
      <c r="Q4" s="102"/>
      <c r="R4" s="102"/>
      <c r="S4" s="103">
        <v>4.6929999999999996</v>
      </c>
      <c r="T4" s="102">
        <v>43.087000000000003</v>
      </c>
      <c r="U4" s="102"/>
      <c r="V4" s="102">
        <v>47.78</v>
      </c>
      <c r="W4" s="102"/>
      <c r="X4" s="102">
        <v>3.6360000000000001</v>
      </c>
      <c r="Y4" s="102">
        <v>1.367</v>
      </c>
      <c r="Z4" s="102">
        <v>2.2690000000000001</v>
      </c>
      <c r="AA4" s="102"/>
      <c r="AB4" s="102"/>
      <c r="AC4" s="102">
        <v>5.6740000000000004</v>
      </c>
      <c r="AD4" s="102"/>
      <c r="AE4" s="102"/>
      <c r="AF4" s="104">
        <v>2.8</v>
      </c>
      <c r="AG4" s="104"/>
      <c r="AH4" s="86">
        <v>0.51899999999999968</v>
      </c>
      <c r="AI4" s="105">
        <f>AH4-AH3</f>
        <v>2.9909999999999997</v>
      </c>
      <c r="AJ4" s="86">
        <v>100.00809061488674</v>
      </c>
      <c r="AK4" s="102">
        <v>64.113499214504969</v>
      </c>
      <c r="AL4" s="82">
        <v>109</v>
      </c>
      <c r="AM4" s="82">
        <v>173</v>
      </c>
      <c r="AN4" s="82">
        <f>AL4+AM4</f>
        <v>282</v>
      </c>
      <c r="AO4" s="82">
        <v>175</v>
      </c>
      <c r="AP4" s="82">
        <f>AO4+AN4</f>
        <v>457</v>
      </c>
      <c r="AQ4" s="115">
        <v>0.179245283018868</v>
      </c>
    </row>
    <row r="5" spans="1:43">
      <c r="A5" s="99">
        <v>1962</v>
      </c>
      <c r="B5" s="100">
        <v>2059</v>
      </c>
      <c r="C5" s="100">
        <v>2934.6000000000004</v>
      </c>
      <c r="D5" s="100">
        <v>3222</v>
      </c>
      <c r="E5" s="100">
        <v>40850.90635601955</v>
      </c>
      <c r="F5" s="100"/>
      <c r="G5" s="101">
        <f t="shared" si="0"/>
        <v>5.0402798460715124E-2</v>
      </c>
      <c r="H5" s="101">
        <f t="shared" si="1"/>
        <v>7.1836839418559797E-2</v>
      </c>
      <c r="I5" s="101">
        <f t="shared" ref="I5:I36" si="2">D5/E5</f>
        <v>7.8872179038574131E-2</v>
      </c>
      <c r="J5" s="101">
        <f t="shared" ref="J5:J57" si="3">G5-G4</f>
        <v>-6.70880356721789E-3</v>
      </c>
      <c r="K5" s="101">
        <f t="shared" ref="K5:K58" si="4">H5-H4</f>
        <v>-4.1620856553350322E-3</v>
      </c>
      <c r="L5" s="101"/>
      <c r="M5" s="102">
        <v>63.060145552773328</v>
      </c>
      <c r="N5" s="102">
        <v>-9.4629999999999992</v>
      </c>
      <c r="O5" s="102"/>
      <c r="P5" s="102">
        <v>-0.93400000000000005</v>
      </c>
      <c r="Q5" s="102"/>
      <c r="R5" s="102"/>
      <c r="S5" s="103">
        <v>0.93400000000000005</v>
      </c>
      <c r="T5" s="102">
        <v>39.613999999999997</v>
      </c>
      <c r="U5" s="102"/>
      <c r="V5" s="102">
        <v>40.548000000000002</v>
      </c>
      <c r="W5" s="102"/>
      <c r="X5" s="102">
        <v>4.7789999999999999</v>
      </c>
      <c r="Y5" s="102">
        <v>2.5259999999999998</v>
      </c>
      <c r="Z5" s="102">
        <v>2.2530000000000001</v>
      </c>
      <c r="AA5" s="102"/>
      <c r="AB5" s="102"/>
      <c r="AC5" s="102">
        <v>0.89500000000000002</v>
      </c>
      <c r="AD5" s="102"/>
      <c r="AE5" s="102"/>
      <c r="AF5" s="104">
        <v>0.753</v>
      </c>
      <c r="AG5" s="104"/>
      <c r="AH5" s="86">
        <v>0.46900000000000008</v>
      </c>
      <c r="AI5" s="105">
        <f t="shared" ref="AI5:AI57" si="5">AH5-AH4</f>
        <v>-4.99999999999996E-2</v>
      </c>
      <c r="AJ5" s="86">
        <v>100</v>
      </c>
      <c r="AK5" s="102">
        <v>63.060145552773328</v>
      </c>
      <c r="AL5" s="82">
        <v>178.5</v>
      </c>
      <c r="AM5" s="82">
        <v>455.59999999999991</v>
      </c>
      <c r="AN5" s="82">
        <f>AL5+AM5</f>
        <v>634.09999999999991</v>
      </c>
      <c r="AO5" s="82">
        <v>57</v>
      </c>
      <c r="AP5" s="82">
        <f t="shared" ref="AP5:AP16" si="6">AO5+AN5</f>
        <v>691.09999999999991</v>
      </c>
      <c r="AQ5" s="115">
        <v>2.0000000000000018E-2</v>
      </c>
    </row>
    <row r="6" spans="1:43">
      <c r="A6" s="99">
        <v>1963</v>
      </c>
      <c r="B6" s="100">
        <v>2227</v>
      </c>
      <c r="C6" s="100">
        <v>3572.7000000000003</v>
      </c>
      <c r="D6" s="100">
        <v>3572</v>
      </c>
      <c r="E6" s="100">
        <v>43439.426657305405</v>
      </c>
      <c r="F6" s="100"/>
      <c r="G6" s="101">
        <f t="shared" si="0"/>
        <v>5.126679082504592E-2</v>
      </c>
      <c r="H6" s="101">
        <f t="shared" si="1"/>
        <v>8.2245560655878569E-2</v>
      </c>
      <c r="I6" s="101">
        <f t="shared" si="2"/>
        <v>8.2229446262713987E-2</v>
      </c>
      <c r="J6" s="101">
        <f t="shared" si="3"/>
        <v>8.6399236433079563E-4</v>
      </c>
      <c r="K6" s="101">
        <f t="shared" si="4"/>
        <v>1.0408721237318772E-2</v>
      </c>
      <c r="L6" s="101">
        <f>I6-I5</f>
        <v>3.3572672241398566E-3</v>
      </c>
      <c r="M6" s="102">
        <v>61.870184180222829</v>
      </c>
      <c r="N6" s="102">
        <v>-8.4749999999999996</v>
      </c>
      <c r="O6" s="102"/>
      <c r="P6" s="102">
        <v>0.63</v>
      </c>
      <c r="Q6" s="102"/>
      <c r="R6" s="102"/>
      <c r="S6" s="103">
        <v>-0.63</v>
      </c>
      <c r="T6" s="102">
        <v>38.716000000000001</v>
      </c>
      <c r="U6" s="102"/>
      <c r="V6" s="102">
        <v>38.085999999999999</v>
      </c>
      <c r="W6" s="102"/>
      <c r="X6" s="102">
        <v>1.2070000000000001</v>
      </c>
      <c r="Y6" s="102">
        <v>2.637</v>
      </c>
      <c r="Z6" s="102">
        <v>-1.43</v>
      </c>
      <c r="AA6" s="102"/>
      <c r="AB6" s="102"/>
      <c r="AC6" s="102">
        <v>2.7370000000000001</v>
      </c>
      <c r="AD6" s="102"/>
      <c r="AE6" s="102"/>
      <c r="AF6" s="104">
        <v>2.339</v>
      </c>
      <c r="AG6" s="104"/>
      <c r="AH6" s="86">
        <v>1.8940000000000001</v>
      </c>
      <c r="AI6" s="105">
        <f t="shared" si="5"/>
        <v>1.425</v>
      </c>
      <c r="AJ6" s="86">
        <v>100</v>
      </c>
      <c r="AK6" s="102">
        <v>61.870184180222829</v>
      </c>
      <c r="AL6" s="82">
        <v>279.5</v>
      </c>
      <c r="AM6" s="82">
        <v>218.60000000000014</v>
      </c>
      <c r="AN6" s="82">
        <f t="shared" ref="AN6:AN33" si="7">AL6+AM6</f>
        <v>498.10000000000014</v>
      </c>
      <c r="AO6" s="82">
        <v>-7</v>
      </c>
      <c r="AP6" s="82">
        <f t="shared" si="6"/>
        <v>491.10000000000014</v>
      </c>
      <c r="AQ6" s="115">
        <v>1.5686274509804088E-2</v>
      </c>
    </row>
    <row r="7" spans="1:43">
      <c r="A7" s="99">
        <v>1964</v>
      </c>
      <c r="B7" s="100">
        <v>2774</v>
      </c>
      <c r="C7" s="100">
        <v>4374.3</v>
      </c>
      <c r="D7" s="100">
        <v>4332</v>
      </c>
      <c r="E7" s="100">
        <v>46286.816862199667</v>
      </c>
      <c r="F7" s="100"/>
      <c r="G7" s="101">
        <f t="shared" si="0"/>
        <v>5.9930671151106944E-2</v>
      </c>
      <c r="H7" s="101">
        <f t="shared" si="1"/>
        <v>9.450423028705375E-2</v>
      </c>
      <c r="I7" s="101">
        <f t="shared" si="2"/>
        <v>9.359036316748208E-2</v>
      </c>
      <c r="J7" s="101">
        <f t="shared" si="3"/>
        <v>8.6638803260610242E-3</v>
      </c>
      <c r="K7" s="101">
        <f t="shared" si="4"/>
        <v>1.2258669631175181E-2</v>
      </c>
      <c r="L7" s="101">
        <f t="shared" ref="L7:L58" si="8">I7-I6</f>
        <v>1.1360916904768092E-2</v>
      </c>
      <c r="M7" s="102">
        <v>60.317024828630906</v>
      </c>
      <c r="N7" s="102">
        <v>-12.898</v>
      </c>
      <c r="O7" s="102"/>
      <c r="P7" s="102">
        <v>-5.1999999999999998E-2</v>
      </c>
      <c r="Q7" s="102"/>
      <c r="R7" s="102"/>
      <c r="S7" s="103">
        <v>5.1999999999999998E-2</v>
      </c>
      <c r="T7" s="102">
        <v>46.218000000000004</v>
      </c>
      <c r="U7" s="102"/>
      <c r="V7" s="102">
        <v>46.27</v>
      </c>
      <c r="W7" s="102"/>
      <c r="X7" s="102">
        <v>7.5529999999999999</v>
      </c>
      <c r="Y7" s="102">
        <v>3.7080000000000002</v>
      </c>
      <c r="Z7" s="102">
        <v>3.8450000000000002</v>
      </c>
      <c r="AA7" s="102"/>
      <c r="AB7" s="102"/>
      <c r="AC7" s="102">
        <v>5.4279999999999999</v>
      </c>
      <c r="AD7" s="102"/>
      <c r="AE7" s="102"/>
      <c r="AF7" s="104">
        <v>3.2629999999999999</v>
      </c>
      <c r="AG7" s="104"/>
      <c r="AH7" s="86">
        <v>5.0289999999999999</v>
      </c>
      <c r="AI7" s="105">
        <f t="shared" si="5"/>
        <v>3.1349999999999998</v>
      </c>
      <c r="AJ7" s="86">
        <v>100</v>
      </c>
      <c r="AK7" s="102">
        <v>60.317024828630906</v>
      </c>
      <c r="AL7" s="82">
        <v>441.30000000000018</v>
      </c>
      <c r="AM7" s="82">
        <v>362.79999999999995</v>
      </c>
      <c r="AN7" s="82">
        <f t="shared" si="7"/>
        <v>804.10000000000014</v>
      </c>
      <c r="AO7" s="82">
        <v>59</v>
      </c>
      <c r="AP7" s="82">
        <f t="shared" si="6"/>
        <v>863.10000000000014</v>
      </c>
      <c r="AQ7" s="115">
        <v>5.044222772771989E-2</v>
      </c>
    </row>
    <row r="8" spans="1:43">
      <c r="A8" s="99">
        <v>1965</v>
      </c>
      <c r="B8" s="100">
        <v>3139</v>
      </c>
      <c r="C8" s="100">
        <v>5048.6000000000004</v>
      </c>
      <c r="D8" s="100">
        <v>4768</v>
      </c>
      <c r="E8" s="100">
        <v>50416.341077094468</v>
      </c>
      <c r="F8" s="100"/>
      <c r="G8" s="101">
        <f t="shared" si="0"/>
        <v>6.2261559108384684E-2</v>
      </c>
      <c r="H8" s="101">
        <f t="shared" si="1"/>
        <v>0.1001381673509369</v>
      </c>
      <c r="I8" s="101">
        <f t="shared" si="2"/>
        <v>9.4572511573360357E-2</v>
      </c>
      <c r="J8" s="101">
        <f t="shared" si="3"/>
        <v>2.33088795727774E-3</v>
      </c>
      <c r="K8" s="101">
        <f t="shared" si="4"/>
        <v>5.6339370638831543E-3</v>
      </c>
      <c r="L8" s="101">
        <f t="shared" si="8"/>
        <v>9.8214840587827756E-4</v>
      </c>
      <c r="M8" s="102">
        <v>59.109893644811642</v>
      </c>
      <c r="N8" s="102">
        <v>-8.3650000000000002</v>
      </c>
      <c r="O8" s="102"/>
      <c r="P8" s="102">
        <v>6.9809999999999999</v>
      </c>
      <c r="Q8" s="102"/>
      <c r="R8" s="102"/>
      <c r="S8" s="103">
        <v>-6.9809999999999999</v>
      </c>
      <c r="T8" s="102">
        <v>60.012999999999998</v>
      </c>
      <c r="U8" s="102"/>
      <c r="V8" s="102">
        <v>53.031999999999996</v>
      </c>
      <c r="W8" s="102"/>
      <c r="X8" s="102">
        <v>2.57</v>
      </c>
      <c r="Y8" s="102">
        <v>3.5139999999999998</v>
      </c>
      <c r="Z8" s="102">
        <v>-0.94399999999999995</v>
      </c>
      <c r="AA8" s="102"/>
      <c r="AB8" s="102"/>
      <c r="AC8" s="102">
        <v>10.117000000000001</v>
      </c>
      <c r="AD8" s="102"/>
      <c r="AE8" s="102"/>
      <c r="AF8" s="104">
        <v>6.2229999999999999</v>
      </c>
      <c r="AG8" s="104"/>
      <c r="AH8" s="86">
        <v>10.747999999999999</v>
      </c>
      <c r="AI8" s="105">
        <f t="shared" si="5"/>
        <v>5.7189999999999994</v>
      </c>
      <c r="AJ8" s="86">
        <v>100</v>
      </c>
      <c r="AK8" s="102">
        <v>59.109893644811642</v>
      </c>
      <c r="AL8" s="82">
        <v>152.69999999999982</v>
      </c>
      <c r="AM8" s="82">
        <v>579</v>
      </c>
      <c r="AN8" s="82">
        <f t="shared" si="7"/>
        <v>731.69999999999982</v>
      </c>
      <c r="AO8" s="82">
        <v>25</v>
      </c>
      <c r="AP8" s="82">
        <f t="shared" si="6"/>
        <v>756.69999999999982</v>
      </c>
      <c r="AQ8" s="115">
        <v>3.9215686274509665E-2</v>
      </c>
    </row>
    <row r="9" spans="1:43">
      <c r="A9" s="99">
        <v>1966</v>
      </c>
      <c r="B9" s="100">
        <v>3155</v>
      </c>
      <c r="C9" s="100">
        <v>5238.6000000000004</v>
      </c>
      <c r="D9" s="100">
        <v>5257</v>
      </c>
      <c r="E9" s="100">
        <v>53134.255667617959</v>
      </c>
      <c r="F9" s="100"/>
      <c r="G9" s="101">
        <f t="shared" si="0"/>
        <v>5.9377890220880185E-2</v>
      </c>
      <c r="H9" s="101">
        <f t="shared" si="1"/>
        <v>9.8591764092267178E-2</v>
      </c>
      <c r="I9" s="101">
        <f t="shared" si="2"/>
        <v>9.8938056700845364E-2</v>
      </c>
      <c r="J9" s="101">
        <f t="shared" si="3"/>
        <v>-2.8836688875044994E-3</v>
      </c>
      <c r="K9" s="101">
        <f t="shared" si="4"/>
        <v>-1.5464032586697263E-3</v>
      </c>
      <c r="L9" s="101">
        <f t="shared" si="8"/>
        <v>4.3655451274850071E-3</v>
      </c>
      <c r="M9" s="102">
        <v>59.245505935911815</v>
      </c>
      <c r="N9" s="102">
        <v>-17.928000000000001</v>
      </c>
      <c r="O9" s="102"/>
      <c r="P9" s="102">
        <v>-9.6370000000000005</v>
      </c>
      <c r="Q9" s="102"/>
      <c r="R9" s="102"/>
      <c r="S9" s="103">
        <v>9.6370000000000005</v>
      </c>
      <c r="T9" s="102">
        <v>53.636000000000003</v>
      </c>
      <c r="U9" s="102"/>
      <c r="V9" s="102">
        <v>63.273000000000003</v>
      </c>
      <c r="W9" s="102"/>
      <c r="X9" s="102">
        <v>12.804</v>
      </c>
      <c r="Y9" s="102"/>
      <c r="Z9" s="102"/>
      <c r="AA9" s="102"/>
      <c r="AB9" s="102"/>
      <c r="AC9" s="102"/>
      <c r="AD9" s="102"/>
      <c r="AE9" s="102"/>
      <c r="AF9" s="104"/>
      <c r="AG9" s="104"/>
      <c r="AH9" s="86">
        <v>10.77</v>
      </c>
      <c r="AI9" s="105">
        <f t="shared" si="5"/>
        <v>2.2000000000000242E-2</v>
      </c>
      <c r="AJ9" s="86">
        <v>100.21844660194175</v>
      </c>
      <c r="AK9" s="102">
        <v>59.245505935911815</v>
      </c>
      <c r="AL9" s="82">
        <v>114.80000000000018</v>
      </c>
      <c r="AM9" s="82">
        <v>177</v>
      </c>
      <c r="AN9" s="82">
        <f t="shared" si="7"/>
        <v>291.80000000000018</v>
      </c>
      <c r="AO9" s="82">
        <v>24</v>
      </c>
      <c r="AP9" s="82">
        <f t="shared" si="6"/>
        <v>315.80000000000018</v>
      </c>
      <c r="AQ9" s="115">
        <v>1.3207547169811429E-2</v>
      </c>
    </row>
    <row r="10" spans="1:43">
      <c r="A10" s="99">
        <v>1967</v>
      </c>
      <c r="B10" s="100">
        <v>3236</v>
      </c>
      <c r="C10" s="100">
        <v>5787</v>
      </c>
      <c r="D10" s="100">
        <v>5393</v>
      </c>
      <c r="E10" s="100">
        <v>56892.039691923026</v>
      </c>
      <c r="F10" s="100"/>
      <c r="G10" s="101">
        <f t="shared" si="0"/>
        <v>5.6879662207987521E-2</v>
      </c>
      <c r="H10" s="101">
        <f t="shared" si="1"/>
        <v>0.10171897564821501</v>
      </c>
      <c r="I10" s="101">
        <f t="shared" si="2"/>
        <v>9.4793577962817274E-2</v>
      </c>
      <c r="J10" s="101">
        <f t="shared" si="3"/>
        <v>-2.4982280128926643E-3</v>
      </c>
      <c r="K10" s="101">
        <f t="shared" si="4"/>
        <v>3.1272115559478342E-3</v>
      </c>
      <c r="L10" s="101">
        <f t="shared" si="8"/>
        <v>-4.1444787380280901E-3</v>
      </c>
      <c r="M10" s="102">
        <v>59.167235635393723</v>
      </c>
      <c r="N10" s="102">
        <v>-29.734000000000002</v>
      </c>
      <c r="O10" s="102"/>
      <c r="P10" s="102">
        <v>-11.148999999999999</v>
      </c>
      <c r="Q10" s="102"/>
      <c r="R10" s="102"/>
      <c r="S10" s="103">
        <v>11.148999999999999</v>
      </c>
      <c r="T10" s="102">
        <v>50.356000000000002</v>
      </c>
      <c r="U10" s="102"/>
      <c r="V10" s="102">
        <v>61.505000000000003</v>
      </c>
      <c r="W10" s="102"/>
      <c r="X10" s="102">
        <v>13.724</v>
      </c>
      <c r="Y10" s="102">
        <v>17.498999999999999</v>
      </c>
      <c r="Z10" s="102">
        <v>-3.7749999999999999</v>
      </c>
      <c r="AA10" s="102"/>
      <c r="AB10" s="102"/>
      <c r="AC10" s="102">
        <v>5.31</v>
      </c>
      <c r="AD10" s="102"/>
      <c r="AE10" s="102"/>
      <c r="AF10" s="104">
        <v>-4.2309999999999999</v>
      </c>
      <c r="AG10" s="104"/>
      <c r="AH10" s="86">
        <v>11</v>
      </c>
      <c r="AI10" s="105">
        <f t="shared" si="5"/>
        <v>0.23000000000000043</v>
      </c>
      <c r="AJ10" s="86">
        <v>100.21844660194175</v>
      </c>
      <c r="AK10" s="102">
        <v>59.167235635393723</v>
      </c>
      <c r="AL10" s="82">
        <v>409.69999999999982</v>
      </c>
      <c r="AM10" s="82">
        <v>-40.599999999999909</v>
      </c>
      <c r="AN10" s="82">
        <f t="shared" si="7"/>
        <v>369.09999999999991</v>
      </c>
      <c r="AO10" s="82">
        <v>80</v>
      </c>
      <c r="AP10" s="82">
        <f t="shared" si="6"/>
        <v>449.09999999999991</v>
      </c>
      <c r="AQ10" s="115">
        <v>5.5865921787707773E-3</v>
      </c>
    </row>
    <row r="11" spans="1:43">
      <c r="A11" s="99">
        <v>1968</v>
      </c>
      <c r="B11" s="100">
        <v>3547</v>
      </c>
      <c r="C11" s="100">
        <v>6476</v>
      </c>
      <c r="D11" s="100">
        <v>5901</v>
      </c>
      <c r="E11" s="100">
        <v>60103.576598544991</v>
      </c>
      <c r="F11" s="100"/>
      <c r="G11" s="101">
        <f t="shared" si="0"/>
        <v>5.9014790811731277E-2</v>
      </c>
      <c r="H11" s="101">
        <f t="shared" si="1"/>
        <v>0.10774733163145525</v>
      </c>
      <c r="I11" s="101">
        <f t="shared" si="2"/>
        <v>9.8180513273196018E-2</v>
      </c>
      <c r="J11" s="101">
        <f t="shared" si="3"/>
        <v>2.1351286037437564E-3</v>
      </c>
      <c r="K11" s="101">
        <f t="shared" si="4"/>
        <v>6.0283559832402384E-3</v>
      </c>
      <c r="L11" s="101">
        <f t="shared" si="8"/>
        <v>3.3869353103787442E-3</v>
      </c>
      <c r="M11" s="102">
        <v>60.455363023940912</v>
      </c>
      <c r="N11" s="102">
        <v>-36.295000000000002</v>
      </c>
      <c r="O11" s="102"/>
      <c r="P11" s="102">
        <v>-23.536000000000001</v>
      </c>
      <c r="Q11" s="102"/>
      <c r="R11" s="102"/>
      <c r="S11" s="103">
        <v>23.536000000000001</v>
      </c>
      <c r="T11" s="102">
        <v>49.962000000000003</v>
      </c>
      <c r="U11" s="102"/>
      <c r="V11" s="102">
        <v>73.498000000000005</v>
      </c>
      <c r="W11" s="102"/>
      <c r="X11" s="102">
        <v>10.247</v>
      </c>
      <c r="Y11" s="102">
        <v>12.038</v>
      </c>
      <c r="Z11" s="102">
        <v>-1.7909999999999999</v>
      </c>
      <c r="AA11" s="102"/>
      <c r="AB11" s="102"/>
      <c r="AC11" s="102">
        <v>14.252000000000001</v>
      </c>
      <c r="AD11" s="102"/>
      <c r="AE11" s="102"/>
      <c r="AF11" s="104">
        <v>-3.2549999999999999</v>
      </c>
      <c r="AG11" s="104"/>
      <c r="AH11" s="86">
        <v>9.8569999999999993</v>
      </c>
      <c r="AI11" s="105">
        <f t="shared" si="5"/>
        <v>-1.1430000000000007</v>
      </c>
      <c r="AJ11" s="86">
        <v>100</v>
      </c>
      <c r="AK11" s="102">
        <v>60.455363023940912</v>
      </c>
      <c r="AL11" s="82">
        <v>355.5</v>
      </c>
      <c r="AM11" s="82">
        <v>-494.30000000000018</v>
      </c>
      <c r="AN11" s="82">
        <f t="shared" si="7"/>
        <v>-138.80000000000018</v>
      </c>
      <c r="AO11" s="82">
        <v>11</v>
      </c>
      <c r="AP11" s="82">
        <f t="shared" si="6"/>
        <v>-127.80000000000018</v>
      </c>
      <c r="AQ11" s="115">
        <v>2.6851851851851904E-2</v>
      </c>
    </row>
    <row r="12" spans="1:43">
      <c r="A12" s="99">
        <v>1969</v>
      </c>
      <c r="B12" s="100">
        <v>3713</v>
      </c>
      <c r="C12" s="100">
        <v>6710.7999999999993</v>
      </c>
      <c r="D12" s="100">
        <v>6173</v>
      </c>
      <c r="E12" s="100">
        <v>64603.847218767427</v>
      </c>
      <c r="F12" s="100"/>
      <c r="G12" s="101">
        <f t="shared" si="0"/>
        <v>5.7473357390415182E-2</v>
      </c>
      <c r="H12" s="101">
        <f t="shared" si="1"/>
        <v>0.10387616665111719</v>
      </c>
      <c r="I12" s="101">
        <f t="shared" si="2"/>
        <v>9.5551585017784241E-2</v>
      </c>
      <c r="J12" s="101">
        <f t="shared" si="3"/>
        <v>-1.5414334213160949E-3</v>
      </c>
      <c r="K12" s="101">
        <f t="shared" si="4"/>
        <v>-3.8711649803380571E-3</v>
      </c>
      <c r="L12" s="101">
        <f t="shared" si="8"/>
        <v>-2.6289282554117777E-3</v>
      </c>
      <c r="M12" s="102">
        <v>61.290870178492305</v>
      </c>
      <c r="N12" s="102">
        <v>-37.97</v>
      </c>
      <c r="O12" s="102"/>
      <c r="P12" s="102">
        <v>-26.047000000000001</v>
      </c>
      <c r="Q12" s="102"/>
      <c r="R12" s="102"/>
      <c r="S12" s="103">
        <v>26.047000000000001</v>
      </c>
      <c r="T12" s="102">
        <v>55.155999999999999</v>
      </c>
      <c r="U12" s="102"/>
      <c r="V12" s="102">
        <v>81.203000000000003</v>
      </c>
      <c r="W12" s="102"/>
      <c r="X12" s="102">
        <v>26.312000000000001</v>
      </c>
      <c r="Y12" s="102">
        <v>22.696999999999999</v>
      </c>
      <c r="Z12" s="102">
        <v>3.516</v>
      </c>
      <c r="AA12" s="102"/>
      <c r="AB12" s="102"/>
      <c r="AC12" s="102">
        <v>9.9179999999999993</v>
      </c>
      <c r="AD12" s="102"/>
      <c r="AE12" s="102"/>
      <c r="AF12" s="104">
        <v>-3.1219999999999999</v>
      </c>
      <c r="AG12" s="104"/>
      <c r="AH12" s="86">
        <v>8.91</v>
      </c>
      <c r="AI12" s="105">
        <f t="shared" si="5"/>
        <v>-0.94699999999999918</v>
      </c>
      <c r="AJ12" s="86">
        <v>100</v>
      </c>
      <c r="AK12" s="102">
        <v>61.290870178492305</v>
      </c>
      <c r="AL12" s="82">
        <v>-76.699999999999818</v>
      </c>
      <c r="AM12" s="82">
        <v>678.80000000000018</v>
      </c>
      <c r="AN12" s="82">
        <f t="shared" si="7"/>
        <v>602.10000000000036</v>
      </c>
      <c r="AO12" s="82">
        <v>232</v>
      </c>
      <c r="AP12" s="82">
        <f t="shared" si="6"/>
        <v>834.10000000000036</v>
      </c>
      <c r="AQ12" s="115">
        <v>-2.7051397655546428E-3</v>
      </c>
    </row>
    <row r="13" spans="1:43">
      <c r="A13" s="99">
        <v>1970</v>
      </c>
      <c r="B13" s="100">
        <v>4320</v>
      </c>
      <c r="C13" s="100">
        <v>8207</v>
      </c>
      <c r="D13" s="100">
        <v>7199</v>
      </c>
      <c r="E13" s="100">
        <v>69143.520389176221</v>
      </c>
      <c r="F13" s="100"/>
      <c r="G13" s="101">
        <f t="shared" si="0"/>
        <v>6.2478739521574261E-2</v>
      </c>
      <c r="H13" s="101">
        <f t="shared" si="1"/>
        <v>0.11869514241980554</v>
      </c>
      <c r="I13" s="101">
        <f t="shared" si="2"/>
        <v>0.10411676986477154</v>
      </c>
      <c r="J13" s="101">
        <f t="shared" si="3"/>
        <v>5.0053821311590793E-3</v>
      </c>
      <c r="K13" s="101">
        <f t="shared" si="4"/>
        <v>1.4818975768688347E-2</v>
      </c>
      <c r="L13" s="101">
        <f t="shared" si="8"/>
        <v>8.5651848469873032E-3</v>
      </c>
      <c r="M13" s="102">
        <v>63.964354526646346</v>
      </c>
      <c r="N13" s="102">
        <v>-21.57</v>
      </c>
      <c r="O13" s="102"/>
      <c r="P13" s="102">
        <v>-11.318</v>
      </c>
      <c r="Q13" s="102"/>
      <c r="R13" s="102"/>
      <c r="S13" s="103">
        <v>11.318</v>
      </c>
      <c r="T13" s="102">
        <v>65.269000000000005</v>
      </c>
      <c r="U13" s="102"/>
      <c r="V13" s="102">
        <v>76.587000000000003</v>
      </c>
      <c r="W13" s="102"/>
      <c r="X13" s="102">
        <v>18.015000000000001</v>
      </c>
      <c r="Y13" s="102">
        <v>11.686999999999999</v>
      </c>
      <c r="Z13" s="102">
        <v>6.3280000000000003</v>
      </c>
      <c r="AA13" s="102"/>
      <c r="AB13" s="102"/>
      <c r="AC13" s="102">
        <v>6.5439999999999996</v>
      </c>
      <c r="AD13" s="102"/>
      <c r="AE13" s="102"/>
      <c r="AF13" s="104">
        <v>5.45</v>
      </c>
      <c r="AG13" s="104"/>
      <c r="AH13" s="86">
        <v>17.296999999999997</v>
      </c>
      <c r="AI13" s="105">
        <f t="shared" si="5"/>
        <v>8.3869999999999969</v>
      </c>
      <c r="AJ13" s="86">
        <v>100</v>
      </c>
      <c r="AK13" s="102">
        <v>63.964354526646346</v>
      </c>
      <c r="AL13" s="82">
        <v>-61.900000000000091</v>
      </c>
      <c r="AM13" s="82">
        <v>-184.09999999999991</v>
      </c>
      <c r="AN13" s="82">
        <f t="shared" si="7"/>
        <v>-246</v>
      </c>
      <c r="AO13" s="82">
        <v>436</v>
      </c>
      <c r="AP13" s="82">
        <f t="shared" si="6"/>
        <v>190</v>
      </c>
      <c r="AQ13" s="115">
        <v>2.2603978300180794E-2</v>
      </c>
    </row>
    <row r="14" spans="1:43">
      <c r="A14" s="99">
        <v>1971</v>
      </c>
      <c r="B14" s="100">
        <v>4796</v>
      </c>
      <c r="C14" s="100">
        <v>9139</v>
      </c>
      <c r="D14" s="100">
        <v>7962</v>
      </c>
      <c r="E14" s="100">
        <v>76739.957949324438</v>
      </c>
      <c r="F14" s="100"/>
      <c r="G14" s="101">
        <f t="shared" si="0"/>
        <v>6.2496776492463796E-2</v>
      </c>
      <c r="H14" s="101">
        <f t="shared" si="1"/>
        <v>0.11909050049304142</v>
      </c>
      <c r="I14" s="101">
        <f t="shared" si="2"/>
        <v>0.10375298883090008</v>
      </c>
      <c r="J14" s="101">
        <f t="shared" si="3"/>
        <v>1.8036970889534487E-5</v>
      </c>
      <c r="K14" s="101">
        <f t="shared" si="4"/>
        <v>3.9535807323587413E-4</v>
      </c>
      <c r="L14" s="101">
        <f t="shared" si="8"/>
        <v>-3.6378103387146865E-4</v>
      </c>
      <c r="M14" s="102">
        <v>62.779873195703892</v>
      </c>
      <c r="N14" s="102">
        <v>-30.065000000000001</v>
      </c>
      <c r="O14" s="102"/>
      <c r="P14" s="102">
        <v>-16.581</v>
      </c>
      <c r="Q14" s="102"/>
      <c r="R14" s="102"/>
      <c r="S14" s="103">
        <v>16.581</v>
      </c>
      <c r="T14" s="102">
        <v>66.453000000000003</v>
      </c>
      <c r="U14" s="102"/>
      <c r="V14" s="102">
        <v>83.034000000000006</v>
      </c>
      <c r="W14" s="102"/>
      <c r="X14" s="102">
        <v>22.664999999999999</v>
      </c>
      <c r="Y14" s="102">
        <v>18.731000000000002</v>
      </c>
      <c r="Z14" s="102">
        <v>3.9340000000000002</v>
      </c>
      <c r="AA14" s="102"/>
      <c r="AB14" s="102"/>
      <c r="AC14" s="102">
        <v>6.9059999999999997</v>
      </c>
      <c r="AD14" s="102"/>
      <c r="AE14" s="102"/>
      <c r="AF14" s="104">
        <v>7.96</v>
      </c>
      <c r="AG14" s="104"/>
      <c r="AH14" s="86">
        <v>20.247</v>
      </c>
      <c r="AI14" s="105">
        <f t="shared" si="5"/>
        <v>2.9500000000000028</v>
      </c>
      <c r="AJ14" s="86">
        <v>100</v>
      </c>
      <c r="AK14" s="102">
        <v>62.779873195703892</v>
      </c>
      <c r="AL14" s="82">
        <v>504.59999999999991</v>
      </c>
      <c r="AM14" s="82">
        <v>51.199999999999818</v>
      </c>
      <c r="AN14" s="82">
        <f t="shared" si="7"/>
        <v>555.79999999999973</v>
      </c>
      <c r="AO14" s="82">
        <v>863</v>
      </c>
      <c r="AP14" s="82">
        <f t="shared" si="6"/>
        <v>1418.7999999999997</v>
      </c>
      <c r="AQ14" s="115">
        <v>6.2776304155614637E-2</v>
      </c>
    </row>
    <row r="15" spans="1:43">
      <c r="A15" s="99">
        <v>1972</v>
      </c>
      <c r="B15" s="100">
        <v>5593</v>
      </c>
      <c r="C15" s="100">
        <v>11536</v>
      </c>
      <c r="D15" s="100">
        <v>9517</v>
      </c>
      <c r="E15" s="100">
        <v>87858.757669864892</v>
      </c>
      <c r="F15" s="100"/>
      <c r="G15" s="101">
        <f t="shared" si="0"/>
        <v>6.365899255047594E-2</v>
      </c>
      <c r="H15" s="101">
        <f t="shared" si="1"/>
        <v>0.13130165171862873</v>
      </c>
      <c r="I15" s="101">
        <f t="shared" si="2"/>
        <v>0.10832158628694431</v>
      </c>
      <c r="J15" s="101">
        <f t="shared" si="3"/>
        <v>1.1622160580121443E-3</v>
      </c>
      <c r="K15" s="101">
        <f t="shared" si="4"/>
        <v>1.2211151225587316E-2</v>
      </c>
      <c r="L15" s="101">
        <f t="shared" si="8"/>
        <v>4.5685974560442377E-3</v>
      </c>
      <c r="M15" s="102">
        <v>59.287615826865668</v>
      </c>
      <c r="N15" s="102">
        <v>-11.836</v>
      </c>
      <c r="O15" s="102"/>
      <c r="P15" s="102">
        <v>6.8380000000000001</v>
      </c>
      <c r="Q15" s="102"/>
      <c r="R15" s="102"/>
      <c r="S15" s="103">
        <v>-6.8380000000000001</v>
      </c>
      <c r="T15" s="102">
        <v>85.53</v>
      </c>
      <c r="U15" s="102"/>
      <c r="V15" s="102">
        <v>78.691999999999993</v>
      </c>
      <c r="W15" s="102"/>
      <c r="X15" s="102">
        <v>13.896000000000001</v>
      </c>
      <c r="Y15" s="102">
        <v>17.609000000000002</v>
      </c>
      <c r="Z15" s="102">
        <v>-3.7130000000000001</v>
      </c>
      <c r="AA15" s="102"/>
      <c r="AB15" s="102"/>
      <c r="AC15" s="102">
        <v>2.7069999999999999</v>
      </c>
      <c r="AD15" s="102"/>
      <c r="AE15" s="102"/>
      <c r="AF15" s="104">
        <v>11.88</v>
      </c>
      <c r="AG15" s="104"/>
      <c r="AH15" s="86">
        <v>30.631999999999998</v>
      </c>
      <c r="AI15" s="105">
        <f t="shared" si="5"/>
        <v>10.384999999999998</v>
      </c>
      <c r="AJ15" s="86">
        <v>100</v>
      </c>
      <c r="AK15" s="102">
        <v>59.287615826865668</v>
      </c>
      <c r="AL15" s="82">
        <v>1034.1000000000004</v>
      </c>
      <c r="AM15" s="82">
        <v>294.19999999999982</v>
      </c>
      <c r="AN15" s="82">
        <f t="shared" si="7"/>
        <v>1328.3000000000002</v>
      </c>
      <c r="AO15" s="82">
        <v>131</v>
      </c>
      <c r="AP15" s="82">
        <f t="shared" si="6"/>
        <v>1459.3000000000002</v>
      </c>
      <c r="AQ15" s="115">
        <v>9.4841930116472462E-2</v>
      </c>
    </row>
    <row r="16" spans="1:43">
      <c r="A16" s="99">
        <v>1973</v>
      </c>
      <c r="B16" s="100">
        <v>7112</v>
      </c>
      <c r="C16" s="100">
        <v>14584</v>
      </c>
      <c r="D16" s="100">
        <v>12534</v>
      </c>
      <c r="E16" s="100">
        <v>112058.98952764735</v>
      </c>
      <c r="F16" s="100"/>
      <c r="G16" s="101">
        <f t="shared" si="0"/>
        <v>6.3466572650517403E-2</v>
      </c>
      <c r="H16" s="101">
        <f t="shared" si="1"/>
        <v>0.13014573896725898</v>
      </c>
      <c r="I16" s="101">
        <f t="shared" si="2"/>
        <v>0.11185180281237136</v>
      </c>
      <c r="J16" s="101">
        <f t="shared" si="3"/>
        <v>-1.9241989995853748E-4</v>
      </c>
      <c r="K16" s="101">
        <f t="shared" si="4"/>
        <v>-1.1559127513697531E-3</v>
      </c>
      <c r="L16" s="101">
        <f t="shared" si="8"/>
        <v>3.5302165254270518E-3</v>
      </c>
      <c r="M16" s="102">
        <v>57.355860570888026</v>
      </c>
      <c r="N16" s="102">
        <v>-15.699</v>
      </c>
      <c r="O16" s="102"/>
      <c r="P16" s="102">
        <v>0.753</v>
      </c>
      <c r="Q16" s="102"/>
      <c r="R16" s="102"/>
      <c r="S16" s="103">
        <v>-0.753</v>
      </c>
      <c r="T16" s="102">
        <v>128.023</v>
      </c>
      <c r="U16" s="102"/>
      <c r="V16" s="102">
        <v>127.27</v>
      </c>
      <c r="W16" s="102"/>
      <c r="X16" s="102">
        <v>34.188000000000002</v>
      </c>
      <c r="Y16" s="102">
        <v>24.684999999999999</v>
      </c>
      <c r="Z16" s="102">
        <v>9.5030000000000001</v>
      </c>
      <c r="AA16" s="102"/>
      <c r="AB16" s="102"/>
      <c r="AC16" s="102">
        <v>1.849</v>
      </c>
      <c r="AD16" s="102"/>
      <c r="AE16" s="102"/>
      <c r="AF16" s="104">
        <v>21.17</v>
      </c>
      <c r="AG16" s="104"/>
      <c r="AH16" s="86">
        <v>53.155999999999999</v>
      </c>
      <c r="AI16" s="105">
        <f t="shared" si="5"/>
        <v>22.524000000000001</v>
      </c>
      <c r="AJ16" s="86">
        <v>100</v>
      </c>
      <c r="AK16" s="102">
        <v>57.355860570888026</v>
      </c>
      <c r="AL16" s="82">
        <v>218.19999999999982</v>
      </c>
      <c r="AM16" s="82">
        <v>-316.19999999999982</v>
      </c>
      <c r="AN16" s="82">
        <f t="shared" si="7"/>
        <v>-98</v>
      </c>
      <c r="AO16" s="82">
        <v>721</v>
      </c>
      <c r="AP16" s="82">
        <f t="shared" si="6"/>
        <v>623</v>
      </c>
      <c r="AQ16" s="115">
        <v>0.14133738601823698</v>
      </c>
    </row>
    <row r="17" spans="1:43">
      <c r="A17" s="99">
        <v>1974</v>
      </c>
      <c r="B17" s="100">
        <v>8312</v>
      </c>
      <c r="C17" s="100">
        <v>17279</v>
      </c>
      <c r="D17" s="100">
        <v>15319</v>
      </c>
      <c r="E17" s="100">
        <v>151151.99149675915</v>
      </c>
      <c r="F17" s="100">
        <v>1199.6189801330092</v>
      </c>
      <c r="G17" s="101">
        <f t="shared" si="0"/>
        <v>5.4991005528221691E-2</v>
      </c>
      <c r="H17" s="101">
        <f t="shared" si="1"/>
        <v>0.11431539756041176</v>
      </c>
      <c r="I17" s="101">
        <f t="shared" si="2"/>
        <v>0.10134831733479645</v>
      </c>
      <c r="J17" s="101">
        <f t="shared" si="3"/>
        <v>-8.4755671222957116E-3</v>
      </c>
      <c r="K17" s="101">
        <f t="shared" si="4"/>
        <v>-1.583034140684722E-2</v>
      </c>
      <c r="L17" s="101">
        <f t="shared" si="8"/>
        <v>-1.0503485477574917E-2</v>
      </c>
      <c r="M17" s="227">
        <v>52.834090844432559</v>
      </c>
      <c r="N17" s="227">
        <v>-58.052999999999997</v>
      </c>
      <c r="O17" s="107">
        <f>N17/F17</f>
        <v>-4.8392865535991515E-2</v>
      </c>
      <c r="P17" s="227">
        <v>-25.286999999999999</v>
      </c>
      <c r="Q17" s="107">
        <f>P17/F17</f>
        <v>-2.1079192992758643E-2</v>
      </c>
      <c r="R17" s="109">
        <v>2.1079192992758643E-2</v>
      </c>
      <c r="S17" s="228">
        <v>25.286999999999999</v>
      </c>
      <c r="T17" s="227">
        <v>172.96199999999999</v>
      </c>
      <c r="U17" s="107">
        <f>T17/F17</f>
        <v>0.14418077978461347</v>
      </c>
      <c r="V17" s="227">
        <v>198.249</v>
      </c>
      <c r="W17" s="107">
        <f>V17/F17</f>
        <v>0.16525997277737212</v>
      </c>
      <c r="X17" s="227">
        <v>83.959000000000003</v>
      </c>
      <c r="Y17" s="227">
        <v>42.317999999999998</v>
      </c>
      <c r="Z17" s="227">
        <v>40.908999999999999</v>
      </c>
      <c r="AA17" s="227">
        <v>1.492</v>
      </c>
      <c r="AB17" s="288">
        <f>+AA17/F17</f>
        <v>1.2437282376397318E-3</v>
      </c>
      <c r="AC17" s="227">
        <v>10.5</v>
      </c>
      <c r="AD17" s="227">
        <f>AC17+X17</f>
        <v>94.459000000000003</v>
      </c>
      <c r="AE17" s="107">
        <f>AD17/F17</f>
        <v>7.8740834852018382E-2</v>
      </c>
      <c r="AF17" s="227">
        <v>39.06</v>
      </c>
      <c r="AG17" s="107">
        <f>AF17/F17</f>
        <v>3.2560338446520058E-2</v>
      </c>
      <c r="AH17" s="227">
        <v>83.448999999999998</v>
      </c>
      <c r="AI17" s="227">
        <f t="shared" si="5"/>
        <v>30.292999999999999</v>
      </c>
      <c r="AJ17" s="227">
        <v>100</v>
      </c>
      <c r="AK17" s="227">
        <v>52.834090844432559</v>
      </c>
      <c r="AL17" s="116">
        <v>-1238.5</v>
      </c>
      <c r="AM17" s="116">
        <v>442.80000000000018</v>
      </c>
      <c r="AN17" s="116">
        <f t="shared" si="7"/>
        <v>-795.69999999999982</v>
      </c>
      <c r="AO17" s="116">
        <v>1074</v>
      </c>
      <c r="AP17" s="116">
        <f>AN17+AO17</f>
        <v>278.30000000000018</v>
      </c>
      <c r="AQ17" s="230">
        <v>0.2197070572569908</v>
      </c>
    </row>
    <row r="18" spans="1:43">
      <c r="A18" s="99">
        <v>1975</v>
      </c>
      <c r="B18" s="100">
        <v>9722</v>
      </c>
      <c r="C18" s="100">
        <v>21045</v>
      </c>
      <c r="D18" s="100">
        <v>18139</v>
      </c>
      <c r="E18" s="100">
        <v>170338.06477592592</v>
      </c>
      <c r="F18" s="100">
        <v>1351.889402983539</v>
      </c>
      <c r="G18" s="101">
        <f t="shared" si="0"/>
        <v>5.7074735543044763E-2</v>
      </c>
      <c r="H18" s="101">
        <f t="shared" si="1"/>
        <v>0.1235484272272554</v>
      </c>
      <c r="I18" s="101">
        <f t="shared" si="2"/>
        <v>0.10648823575553271</v>
      </c>
      <c r="J18" s="101">
        <f>G18-G17</f>
        <v>2.0837300148230722E-3</v>
      </c>
      <c r="K18" s="101">
        <f t="shared" si="4"/>
        <v>9.2330296668436396E-3</v>
      </c>
      <c r="L18" s="101">
        <f t="shared" si="8"/>
        <v>5.1399184207362586E-3</v>
      </c>
      <c r="M18" s="227">
        <v>54.567451493151921</v>
      </c>
      <c r="N18" s="227">
        <v>-103.592</v>
      </c>
      <c r="O18" s="107">
        <f t="shared" ref="O18:O32" si="9">N18/F18</f>
        <v>-7.662757010401787E-2</v>
      </c>
      <c r="P18" s="227">
        <v>-50.896999999999998</v>
      </c>
      <c r="Q18" s="107">
        <f t="shared" ref="Q18:Q31" si="10">P18/F18</f>
        <v>-3.7648789825316602E-2</v>
      </c>
      <c r="R18" s="109">
        <v>3.7648789825316602E-2</v>
      </c>
      <c r="S18" s="228">
        <v>50.896999999999998</v>
      </c>
      <c r="T18" s="227">
        <v>176.44499999999999</v>
      </c>
      <c r="U18" s="107">
        <f t="shared" ref="U18:U31" si="11">T18/F18</f>
        <v>0.13051733345242328</v>
      </c>
      <c r="V18" s="227">
        <v>227.34200000000001</v>
      </c>
      <c r="W18" s="107">
        <f t="shared" ref="W18:W31" si="12">V18/F18</f>
        <v>0.16816612327773992</v>
      </c>
      <c r="X18" s="227">
        <v>100.491</v>
      </c>
      <c r="Y18" s="227">
        <v>61.295999999999999</v>
      </c>
      <c r="Z18" s="227">
        <v>-5.907</v>
      </c>
      <c r="AA18" s="227">
        <v>45.101999999999997</v>
      </c>
      <c r="AB18" s="288">
        <f t="shared" ref="AB18:AB58" si="13">+AA18/F18</f>
        <v>3.3362196567605737E-2</v>
      </c>
      <c r="AC18" s="227">
        <v>19.46</v>
      </c>
      <c r="AD18" s="227">
        <f t="shared" ref="AD18:AD31" si="14">AC18+X18</f>
        <v>119.95099999999999</v>
      </c>
      <c r="AE18" s="107">
        <f t="shared" ref="AE18:AE31" si="15">AD18/F18</f>
        <v>8.8728412054473779E-2</v>
      </c>
      <c r="AF18" s="227">
        <v>31.79</v>
      </c>
      <c r="AG18" s="107">
        <f t="shared" ref="AG18:AG31" si="16">AF18/F18</f>
        <v>2.3515237215293923E-2</v>
      </c>
      <c r="AH18" s="227">
        <v>112.42399999999999</v>
      </c>
      <c r="AI18" s="227">
        <f t="shared" si="5"/>
        <v>28.974999999999994</v>
      </c>
      <c r="AJ18" s="227">
        <v>100</v>
      </c>
      <c r="AK18" s="227">
        <v>54.567451493151921</v>
      </c>
      <c r="AL18" s="116">
        <v>-202.80000000000018</v>
      </c>
      <c r="AM18" s="116">
        <v>593.19999999999982</v>
      </c>
      <c r="AN18" s="116">
        <f t="shared" si="7"/>
        <v>390.39999999999964</v>
      </c>
      <c r="AO18" s="116">
        <v>279</v>
      </c>
      <c r="AP18" s="116">
        <f t="shared" ref="AP18:AP31" si="17">AN18+AO18</f>
        <v>669.39999999999964</v>
      </c>
      <c r="AQ18" s="230">
        <v>8.6790393013100431E-2</v>
      </c>
    </row>
    <row r="19" spans="1:43">
      <c r="A19" s="99">
        <v>1976</v>
      </c>
      <c r="B19" s="100">
        <v>11257</v>
      </c>
      <c r="C19" s="100">
        <v>25198</v>
      </c>
      <c r="D19" s="100">
        <v>22104</v>
      </c>
      <c r="E19" s="100">
        <v>194143.3509485957</v>
      </c>
      <c r="F19" s="100">
        <v>1540.8202456237755</v>
      </c>
      <c r="G19" s="101">
        <f t="shared" si="0"/>
        <v>5.7982928310434757E-2</v>
      </c>
      <c r="H19" s="101">
        <f t="shared" si="1"/>
        <v>0.12979069268600293</v>
      </c>
      <c r="I19" s="101">
        <f t="shared" si="2"/>
        <v>0.1138540150460913</v>
      </c>
      <c r="J19" s="101">
        <f t="shared" si="3"/>
        <v>9.0819276738999394E-4</v>
      </c>
      <c r="K19" s="101">
        <f t="shared" si="4"/>
        <v>6.2422654587475368E-3</v>
      </c>
      <c r="L19" s="101">
        <f t="shared" si="8"/>
        <v>7.3657792905585939E-3</v>
      </c>
      <c r="M19" s="227">
        <v>55.879559615475415</v>
      </c>
      <c r="N19" s="227">
        <v>-109.432</v>
      </c>
      <c r="O19" s="107">
        <f t="shared" si="9"/>
        <v>-7.1021912069761439E-2</v>
      </c>
      <c r="P19" s="227">
        <v>-53.957000000000001</v>
      </c>
      <c r="Q19" s="107">
        <f t="shared" si="10"/>
        <v>-3.5018361261314038E-2</v>
      </c>
      <c r="R19" s="109">
        <v>3.5018361261314038E-2</v>
      </c>
      <c r="S19" s="228">
        <v>53.957000000000001</v>
      </c>
      <c r="T19" s="227">
        <v>182.33600000000001</v>
      </c>
      <c r="U19" s="107">
        <f t="shared" si="11"/>
        <v>0.11833697053103318</v>
      </c>
      <c r="V19" s="227">
        <v>236.29300000000001</v>
      </c>
      <c r="W19" s="107">
        <f t="shared" si="12"/>
        <v>0.1533553317923472</v>
      </c>
      <c r="X19" s="227">
        <v>124.994</v>
      </c>
      <c r="Y19" s="227">
        <v>55.033000000000001</v>
      </c>
      <c r="Z19" s="227">
        <v>-6.7119999999999997</v>
      </c>
      <c r="AA19" s="227">
        <v>76.673000000000002</v>
      </c>
      <c r="AB19" s="288">
        <f t="shared" si="13"/>
        <v>4.9761158199839339E-2</v>
      </c>
      <c r="AC19" s="227">
        <v>35.65</v>
      </c>
      <c r="AD19" s="227">
        <f t="shared" si="14"/>
        <v>160.64400000000001</v>
      </c>
      <c r="AE19" s="107">
        <f t="shared" si="15"/>
        <v>0.10425875468359123</v>
      </c>
      <c r="AF19" s="227">
        <v>50.85</v>
      </c>
      <c r="AG19" s="107">
        <f t="shared" si="16"/>
        <v>3.3001902814052284E-2</v>
      </c>
      <c r="AH19" s="227">
        <v>151.42099999999999</v>
      </c>
      <c r="AI19" s="227">
        <f t="shared" si="5"/>
        <v>38.997</v>
      </c>
      <c r="AJ19" s="227">
        <v>102.42718446601941</v>
      </c>
      <c r="AK19" s="227">
        <v>55.879559615475415</v>
      </c>
      <c r="AL19" s="116">
        <v>-283</v>
      </c>
      <c r="AM19" s="116">
        <v>-516</v>
      </c>
      <c r="AN19" s="116">
        <f t="shared" si="7"/>
        <v>-799</v>
      </c>
      <c r="AO19" s="116">
        <v>618</v>
      </c>
      <c r="AP19" s="116">
        <f t="shared" si="17"/>
        <v>-181</v>
      </c>
      <c r="AQ19" s="230">
        <v>3.3651431441486634E-2</v>
      </c>
    </row>
    <row r="20" spans="1:43">
      <c r="A20" s="99">
        <v>1977</v>
      </c>
      <c r="B20" s="100">
        <v>14757</v>
      </c>
      <c r="C20" s="100">
        <v>33240</v>
      </c>
      <c r="D20" s="100">
        <v>28340</v>
      </c>
      <c r="E20" s="100">
        <v>240956.52083487576</v>
      </c>
      <c r="F20" s="100">
        <v>1912.3533399593316</v>
      </c>
      <c r="G20" s="101">
        <f t="shared" si="0"/>
        <v>6.1243414159821687E-2</v>
      </c>
      <c r="H20" s="101">
        <f t="shared" si="1"/>
        <v>0.13795019900199723</v>
      </c>
      <c r="I20" s="101">
        <f t="shared" si="2"/>
        <v>0.11761458001554155</v>
      </c>
      <c r="J20" s="101">
        <f t="shared" si="3"/>
        <v>3.2604858493869293E-3</v>
      </c>
      <c r="K20" s="101">
        <f t="shared" si="4"/>
        <v>8.1595063159942971E-3</v>
      </c>
      <c r="L20" s="101">
        <f t="shared" si="8"/>
        <v>3.7605649694502502E-3</v>
      </c>
      <c r="M20" s="227">
        <v>54.417035965871705</v>
      </c>
      <c r="N20" s="227">
        <v>-134.65899999999999</v>
      </c>
      <c r="O20" s="107">
        <f t="shared" si="9"/>
        <v>-7.041533443964057E-2</v>
      </c>
      <c r="P20" s="227">
        <v>-80.69</v>
      </c>
      <c r="Q20" s="107">
        <f t="shared" si="10"/>
        <v>-4.2194085326154193E-2</v>
      </c>
      <c r="R20" s="109">
        <v>4.2194085326154193E-2</v>
      </c>
      <c r="S20" s="228">
        <v>80.69</v>
      </c>
      <c r="T20" s="227">
        <v>279.38499999999999</v>
      </c>
      <c r="U20" s="107">
        <f t="shared" si="11"/>
        <v>0.14609486341365213</v>
      </c>
      <c r="V20" s="227">
        <v>360.07499999999999</v>
      </c>
      <c r="W20" s="107">
        <f t="shared" si="12"/>
        <v>0.18828894873980631</v>
      </c>
      <c r="X20" s="227">
        <v>227.57599999999999</v>
      </c>
      <c r="Y20" s="227">
        <v>54.621000000000002</v>
      </c>
      <c r="Z20" s="227">
        <v>23.928999999999998</v>
      </c>
      <c r="AA20" s="227">
        <v>148.976</v>
      </c>
      <c r="AB20" s="288">
        <f t="shared" si="13"/>
        <v>7.790192162038849E-2</v>
      </c>
      <c r="AC20" s="227">
        <v>30.509</v>
      </c>
      <c r="AD20" s="227">
        <f t="shared" si="14"/>
        <v>258.08499999999998</v>
      </c>
      <c r="AE20" s="107">
        <f t="shared" si="15"/>
        <v>0.13495675438592769</v>
      </c>
      <c r="AF20" s="227">
        <v>106.35</v>
      </c>
      <c r="AG20" s="107">
        <f t="shared" si="16"/>
        <v>5.5612107751102965E-2</v>
      </c>
      <c r="AH20" s="227">
        <v>259.66399999999999</v>
      </c>
      <c r="AI20" s="227">
        <f t="shared" si="5"/>
        <v>108.24299999999999</v>
      </c>
      <c r="AJ20" s="227">
        <v>102.42718446601941</v>
      </c>
      <c r="AK20" s="227">
        <v>54.417035965871705</v>
      </c>
      <c r="AL20" s="116">
        <v>228</v>
      </c>
      <c r="AM20" s="116">
        <v>-410</v>
      </c>
      <c r="AN20" s="116">
        <f t="shared" si="7"/>
        <v>-182</v>
      </c>
      <c r="AO20" s="116">
        <v>-202</v>
      </c>
      <c r="AP20" s="116">
        <f t="shared" si="17"/>
        <v>-384</v>
      </c>
      <c r="AQ20" s="230">
        <v>9.3780369290573207E-2</v>
      </c>
    </row>
    <row r="21" spans="1:43">
      <c r="A21" s="99">
        <v>1978</v>
      </c>
      <c r="B21" s="100">
        <v>20158</v>
      </c>
      <c r="C21" s="100">
        <v>44336</v>
      </c>
      <c r="D21" s="100">
        <v>39080</v>
      </c>
      <c r="E21" s="100">
        <v>296141.47375463031</v>
      </c>
      <c r="F21" s="100">
        <v>2350.3291567827805</v>
      </c>
      <c r="G21" s="101">
        <f t="shared" si="0"/>
        <v>6.8068817732372153E-2</v>
      </c>
      <c r="H21" s="101">
        <f t="shared" si="1"/>
        <v>0.14971222854362792</v>
      </c>
      <c r="I21" s="101">
        <f t="shared" si="2"/>
        <v>0.1319639546076547</v>
      </c>
      <c r="J21" s="101">
        <f t="shared" si="3"/>
        <v>6.8254035725504661E-3</v>
      </c>
      <c r="K21" s="101">
        <f t="shared" si="4"/>
        <v>1.1762029541630692E-2</v>
      </c>
      <c r="L21" s="101">
        <f t="shared" si="8"/>
        <v>1.4349374592113148E-2</v>
      </c>
      <c r="M21" s="227">
        <v>53.023286038494533</v>
      </c>
      <c r="N21" s="227">
        <v>-118.63800000000001</v>
      </c>
      <c r="O21" s="107">
        <f t="shared" si="9"/>
        <v>-5.0477185145588792E-2</v>
      </c>
      <c r="P21" s="227">
        <v>-150.53899999999999</v>
      </c>
      <c r="Q21" s="107">
        <f t="shared" si="10"/>
        <v>-6.4050177638124303E-2</v>
      </c>
      <c r="R21" s="109">
        <v>6.4050177638124303E-2</v>
      </c>
      <c r="S21" s="228">
        <v>150.53899999999999</v>
      </c>
      <c r="T21" s="227">
        <v>281.45400000000001</v>
      </c>
      <c r="U21" s="107">
        <f t="shared" si="11"/>
        <v>0.1197508864610542</v>
      </c>
      <c r="V21" s="227">
        <v>431.99299999999999</v>
      </c>
      <c r="W21" s="107">
        <f t="shared" si="12"/>
        <v>0.18380106409917851</v>
      </c>
      <c r="X21" s="227">
        <v>328</v>
      </c>
      <c r="Y21" s="227">
        <v>121</v>
      </c>
      <c r="Z21" s="227">
        <v>-14</v>
      </c>
      <c r="AA21" s="227">
        <v>221.95599999999999</v>
      </c>
      <c r="AB21" s="288">
        <f t="shared" si="13"/>
        <v>9.443613434291126E-2</v>
      </c>
      <c r="AC21" s="227">
        <v>55.820999999999998</v>
      </c>
      <c r="AD21" s="227">
        <f t="shared" si="14"/>
        <v>383.82100000000003</v>
      </c>
      <c r="AE21" s="107">
        <f t="shared" si="15"/>
        <v>0.16330521148169252</v>
      </c>
      <c r="AF21" s="227">
        <v>169.04</v>
      </c>
      <c r="AG21" s="107">
        <f t="shared" si="16"/>
        <v>7.1921841037528689E-2</v>
      </c>
      <c r="AH21" s="227">
        <v>439.02699999999999</v>
      </c>
      <c r="AI21" s="227">
        <f t="shared" si="5"/>
        <v>179.363</v>
      </c>
      <c r="AJ21" s="227">
        <v>102.42718446601941</v>
      </c>
      <c r="AK21" s="227">
        <v>53.023286038494533</v>
      </c>
      <c r="AL21" s="116">
        <v>72</v>
      </c>
      <c r="AM21" s="116">
        <v>91</v>
      </c>
      <c r="AN21" s="116">
        <f t="shared" si="7"/>
        <v>163</v>
      </c>
      <c r="AO21" s="116">
        <v>881</v>
      </c>
      <c r="AP21" s="116">
        <f t="shared" si="17"/>
        <v>1044</v>
      </c>
      <c r="AQ21" s="230">
        <v>0.16836961350510871</v>
      </c>
    </row>
    <row r="22" spans="1:43">
      <c r="A22" s="99">
        <v>1979</v>
      </c>
      <c r="B22" s="100">
        <v>24423</v>
      </c>
      <c r="C22" s="100">
        <v>50650</v>
      </c>
      <c r="D22" s="100">
        <v>48230</v>
      </c>
      <c r="E22" s="100">
        <v>395025.60881821497</v>
      </c>
      <c r="F22" s="100">
        <v>3135.1238795096424</v>
      </c>
      <c r="G22" s="101">
        <f t="shared" si="0"/>
        <v>6.1826371391630733E-2</v>
      </c>
      <c r="H22" s="101">
        <f t="shared" si="1"/>
        <v>0.12821953531450259</v>
      </c>
      <c r="I22" s="101">
        <f t="shared" si="2"/>
        <v>0.12209335021161816</v>
      </c>
      <c r="J22" s="101">
        <f t="shared" si="3"/>
        <v>-6.2424463407414199E-3</v>
      </c>
      <c r="K22" s="101">
        <f t="shared" si="4"/>
        <v>-2.1492693229125337E-2</v>
      </c>
      <c r="L22" s="101">
        <f t="shared" si="8"/>
        <v>-9.8706043960365419E-3</v>
      </c>
      <c r="M22" s="227">
        <v>45.969182418670556</v>
      </c>
      <c r="N22" s="227">
        <v>-213.37200000000001</v>
      </c>
      <c r="O22" s="107">
        <f t="shared" si="9"/>
        <v>-6.8058554685683753E-2</v>
      </c>
      <c r="P22" s="227">
        <v>-192.624</v>
      </c>
      <c r="Q22" s="107">
        <f t="shared" si="10"/>
        <v>-6.1440634374590609E-2</v>
      </c>
      <c r="R22" s="109">
        <v>6.1440634374590609E-2</v>
      </c>
      <c r="S22" s="228">
        <v>192.624</v>
      </c>
      <c r="T22" s="227">
        <v>384.51100000000002</v>
      </c>
      <c r="U22" s="107">
        <f t="shared" si="11"/>
        <v>0.12264619031900599</v>
      </c>
      <c r="V22" s="227">
        <v>577.13499999999999</v>
      </c>
      <c r="W22" s="107">
        <f t="shared" si="12"/>
        <v>0.18408682469359661</v>
      </c>
      <c r="X22" s="227">
        <v>343.83</v>
      </c>
      <c r="Y22" s="227">
        <v>126</v>
      </c>
      <c r="Z22" s="227">
        <v>69.558000000000007</v>
      </c>
      <c r="AA22" s="227">
        <v>148.99099999999999</v>
      </c>
      <c r="AB22" s="288">
        <f t="shared" si="13"/>
        <v>4.7523161994894862E-2</v>
      </c>
      <c r="AC22" s="227">
        <v>9.6809999999999992</v>
      </c>
      <c r="AD22" s="227">
        <f t="shared" si="14"/>
        <v>353.51099999999997</v>
      </c>
      <c r="AE22" s="107">
        <f t="shared" si="15"/>
        <v>0.11275822378517682</v>
      </c>
      <c r="AF22" s="227">
        <v>166.56</v>
      </c>
      <c r="AG22" s="107">
        <f t="shared" si="16"/>
        <v>5.3127087286276957E-2</v>
      </c>
      <c r="AH22" s="227">
        <v>595.45000000000005</v>
      </c>
      <c r="AI22" s="227">
        <f t="shared" si="5"/>
        <v>156.42300000000006</v>
      </c>
      <c r="AJ22" s="227">
        <v>102.42718446601941</v>
      </c>
      <c r="AK22" s="227">
        <v>45.969182418670556</v>
      </c>
      <c r="AL22" s="116">
        <v>1423</v>
      </c>
      <c r="AM22" s="116">
        <v>172</v>
      </c>
      <c r="AN22" s="116">
        <f t="shared" si="7"/>
        <v>1595</v>
      </c>
      <c r="AO22" s="116">
        <v>1903</v>
      </c>
      <c r="AP22" s="116">
        <f t="shared" si="17"/>
        <v>3498</v>
      </c>
      <c r="AQ22" s="230">
        <v>0.35703422053231959</v>
      </c>
    </row>
    <row r="23" spans="1:43">
      <c r="A23" s="99">
        <v>1980</v>
      </c>
      <c r="B23" s="100">
        <v>33712</v>
      </c>
      <c r="C23" s="100">
        <v>66508</v>
      </c>
      <c r="D23" s="100">
        <v>60589</v>
      </c>
      <c r="E23" s="100">
        <v>515946.12150783779</v>
      </c>
      <c r="F23" s="100">
        <v>4094.8104881574427</v>
      </c>
      <c r="G23" s="101">
        <f t="shared" si="0"/>
        <v>6.5340155870302202E-2</v>
      </c>
      <c r="H23" s="101">
        <f t="shared" si="1"/>
        <v>0.12890493256472646</v>
      </c>
      <c r="I23" s="101">
        <f t="shared" si="2"/>
        <v>0.11743280446208294</v>
      </c>
      <c r="J23" s="101">
        <f t="shared" si="3"/>
        <v>3.5137844786714695E-3</v>
      </c>
      <c r="K23" s="101">
        <f t="shared" si="4"/>
        <v>6.8539725022387366E-4</v>
      </c>
      <c r="L23" s="101">
        <f t="shared" si="8"/>
        <v>-4.6605457495352137E-3</v>
      </c>
      <c r="M23" s="227">
        <v>42.596883663247574</v>
      </c>
      <c r="N23" s="227">
        <v>-286.714</v>
      </c>
      <c r="O23" s="107">
        <f t="shared" si="9"/>
        <v>-7.0018869207550016E-2</v>
      </c>
      <c r="P23" s="227">
        <v>-275.04000000000002</v>
      </c>
      <c r="Q23" s="107">
        <f t="shared" si="10"/>
        <v>-6.7167943619232257E-2</v>
      </c>
      <c r="R23" s="109">
        <v>6.7167943619232257E-2</v>
      </c>
      <c r="S23" s="228">
        <v>275.04000000000002</v>
      </c>
      <c r="T23" s="227">
        <v>400.28199999999998</v>
      </c>
      <c r="U23" s="107">
        <f t="shared" si="11"/>
        <v>9.7753486066730372E-2</v>
      </c>
      <c r="V23" s="227">
        <v>675.322</v>
      </c>
      <c r="W23" s="107">
        <f t="shared" si="12"/>
        <v>0.16492142968596263</v>
      </c>
      <c r="X23" s="227">
        <v>378.62</v>
      </c>
      <c r="Y23" s="227">
        <v>92.787999999999997</v>
      </c>
      <c r="Z23" s="227">
        <v>68.992000000000004</v>
      </c>
      <c r="AA23" s="227">
        <v>216.8</v>
      </c>
      <c r="AB23" s="288">
        <f t="shared" si="13"/>
        <v>5.2945063178626933E-2</v>
      </c>
      <c r="AC23" s="227">
        <v>85.078999999999994</v>
      </c>
      <c r="AD23" s="227">
        <f t="shared" si="14"/>
        <v>463.69900000000001</v>
      </c>
      <c r="AE23" s="107">
        <f t="shared" si="15"/>
        <v>0.11324064968111684</v>
      </c>
      <c r="AF23" s="227">
        <v>167.4</v>
      </c>
      <c r="AG23" s="107">
        <f t="shared" si="16"/>
        <v>4.0881012804899211E-2</v>
      </c>
      <c r="AH23" s="227">
        <v>748.65</v>
      </c>
      <c r="AI23" s="227">
        <f t="shared" si="5"/>
        <v>153.19999999999993</v>
      </c>
      <c r="AJ23" s="227">
        <v>102.42718446601941</v>
      </c>
      <c r="AK23" s="227">
        <v>42.596883663247574</v>
      </c>
      <c r="AL23" s="116">
        <v>-281</v>
      </c>
      <c r="AM23" s="116">
        <v>4413</v>
      </c>
      <c r="AN23" s="116">
        <f t="shared" si="7"/>
        <v>4132</v>
      </c>
      <c r="AO23" s="116">
        <v>2581</v>
      </c>
      <c r="AP23" s="116">
        <f t="shared" si="17"/>
        <v>6713</v>
      </c>
      <c r="AQ23" s="230">
        <v>0.15017255226305104</v>
      </c>
    </row>
    <row r="24" spans="1:43">
      <c r="A24" s="99">
        <v>1981</v>
      </c>
      <c r="B24" s="100">
        <v>34369</v>
      </c>
      <c r="C24" s="100">
        <v>78790</v>
      </c>
      <c r="D24" s="100">
        <v>61627</v>
      </c>
      <c r="E24" s="100">
        <v>657659.11807549722</v>
      </c>
      <c r="F24" s="100">
        <v>5219.5168101229938</v>
      </c>
      <c r="G24" s="101">
        <f t="shared" si="0"/>
        <v>5.2259596279260509E-2</v>
      </c>
      <c r="H24" s="101">
        <f t="shared" si="1"/>
        <v>0.11980370656239446</v>
      </c>
      <c r="I24" s="101">
        <f t="shared" si="2"/>
        <v>9.3706600130989762E-2</v>
      </c>
      <c r="J24" s="101">
        <f t="shared" si="3"/>
        <v>-1.3080559591041693E-2</v>
      </c>
      <c r="K24" s="101">
        <f t="shared" si="4"/>
        <v>-9.1012260023319996E-3</v>
      </c>
      <c r="L24" s="101">
        <f t="shared" si="8"/>
        <v>-2.3726204331093181E-2</v>
      </c>
      <c r="M24" s="227">
        <v>40.835167640519785</v>
      </c>
      <c r="N24" s="227">
        <v>-380.27699999999999</v>
      </c>
      <c r="O24" s="107">
        <f t="shared" si="9"/>
        <v>-7.2856743992561077E-2</v>
      </c>
      <c r="P24" s="227">
        <v>-373.92399999999998</v>
      </c>
      <c r="Q24" s="107">
        <f t="shared" si="10"/>
        <v>-7.1639581517352904E-2</v>
      </c>
      <c r="R24" s="109">
        <v>7.1639581517352904E-2</v>
      </c>
      <c r="S24" s="228">
        <v>373.92399999999998</v>
      </c>
      <c r="T24" s="227">
        <v>398.48599999999999</v>
      </c>
      <c r="U24" s="107">
        <f t="shared" si="11"/>
        <v>7.6345381094885298E-2</v>
      </c>
      <c r="V24" s="227">
        <v>772.41</v>
      </c>
      <c r="W24" s="107">
        <f t="shared" si="12"/>
        <v>0.1479849626122382</v>
      </c>
      <c r="X24" s="227">
        <v>393.30500000000001</v>
      </c>
      <c r="Y24" s="227">
        <v>116.4</v>
      </c>
      <c r="Z24" s="227">
        <v>39.799999999999997</v>
      </c>
      <c r="AA24" s="227">
        <v>236.8</v>
      </c>
      <c r="AB24" s="288">
        <f t="shared" si="13"/>
        <v>4.5368184185313506E-2</v>
      </c>
      <c r="AC24" s="227">
        <v>39.341999999999999</v>
      </c>
      <c r="AD24" s="227">
        <f t="shared" si="14"/>
        <v>432.64699999999999</v>
      </c>
      <c r="AE24" s="107">
        <f t="shared" si="15"/>
        <v>8.2890239794017453E-2</v>
      </c>
      <c r="AF24" s="227">
        <v>45.17</v>
      </c>
      <c r="AG24" s="107">
        <f t="shared" si="16"/>
        <v>8.6540577687948105E-3</v>
      </c>
      <c r="AH24" s="227">
        <v>780.35199999999998</v>
      </c>
      <c r="AI24" s="227">
        <f t="shared" si="5"/>
        <v>31.701999999999998</v>
      </c>
      <c r="AJ24" s="227">
        <v>102.42718446601941</v>
      </c>
      <c r="AK24" s="227">
        <v>40.835167640519785</v>
      </c>
      <c r="AL24" s="116">
        <v>42</v>
      </c>
      <c r="AM24" s="116">
        <v>132</v>
      </c>
      <c r="AN24" s="116">
        <f t="shared" si="7"/>
        <v>174</v>
      </c>
      <c r="AO24" s="116">
        <v>4024</v>
      </c>
      <c r="AP24" s="116">
        <f t="shared" si="17"/>
        <v>4198</v>
      </c>
      <c r="AQ24" s="230">
        <v>8.1180811808118092E-2</v>
      </c>
    </row>
    <row r="25" spans="1:43">
      <c r="A25" s="99">
        <v>1982</v>
      </c>
      <c r="B25" s="100">
        <v>36131</v>
      </c>
      <c r="C25" s="100">
        <v>77075</v>
      </c>
      <c r="D25" s="100">
        <v>60352</v>
      </c>
      <c r="E25" s="100">
        <v>689173.20032844727</v>
      </c>
      <c r="F25" s="100">
        <v>5067.4500024150539</v>
      </c>
      <c r="G25" s="101">
        <f t="shared" si="0"/>
        <v>5.2426588820895285E-2</v>
      </c>
      <c r="H25" s="101">
        <f t="shared" si="1"/>
        <v>0.11183690828846431</v>
      </c>
      <c r="I25" s="101">
        <f t="shared" si="2"/>
        <v>8.7571600246842657E-2</v>
      </c>
      <c r="J25" s="101">
        <f t="shared" si="3"/>
        <v>1.6699254163477645E-4</v>
      </c>
      <c r="K25" s="101">
        <f t="shared" si="4"/>
        <v>-7.9667982739301535E-3</v>
      </c>
      <c r="L25" s="101">
        <f t="shared" si="8"/>
        <v>-6.1349998841471048E-3</v>
      </c>
      <c r="M25" s="227">
        <v>39.777348414294742</v>
      </c>
      <c r="N25" s="227">
        <v>-392.80500000000001</v>
      </c>
      <c r="O25" s="107">
        <f t="shared" si="9"/>
        <v>-7.7515318318443466E-2</v>
      </c>
      <c r="P25" s="227">
        <v>-315.08699999999999</v>
      </c>
      <c r="Q25" s="107">
        <f t="shared" si="10"/>
        <v>-6.2178610514131427E-2</v>
      </c>
      <c r="R25" s="109">
        <v>6.2178610514131427E-2</v>
      </c>
      <c r="S25" s="228">
        <v>315.08699999999999</v>
      </c>
      <c r="T25" s="227">
        <v>396.17700000000002</v>
      </c>
      <c r="U25" s="107">
        <f t="shared" si="11"/>
        <v>7.8180741755950092E-2</v>
      </c>
      <c r="V25" s="227">
        <v>711.26400000000001</v>
      </c>
      <c r="W25" s="107">
        <f t="shared" si="12"/>
        <v>0.14035935227008153</v>
      </c>
      <c r="X25" s="227">
        <v>267.33499999999998</v>
      </c>
      <c r="Y25" s="227">
        <v>193.9</v>
      </c>
      <c r="Z25" s="227">
        <v>-98.2</v>
      </c>
      <c r="AA25" s="227">
        <v>171.529</v>
      </c>
      <c r="AB25" s="288">
        <f t="shared" si="13"/>
        <v>3.3849174618052952E-2</v>
      </c>
      <c r="AC25" s="227">
        <v>60.558</v>
      </c>
      <c r="AD25" s="227">
        <f t="shared" si="14"/>
        <v>327.89299999999997</v>
      </c>
      <c r="AE25" s="107">
        <f t="shared" si="15"/>
        <v>6.4705719808529377E-2</v>
      </c>
      <c r="AF25" s="227">
        <v>-71.5</v>
      </c>
      <c r="AG25" s="107">
        <f t="shared" si="16"/>
        <v>-1.4109660670736645E-2</v>
      </c>
      <c r="AH25" s="227">
        <v>650.20899999999995</v>
      </c>
      <c r="AI25" s="227">
        <f t="shared" si="5"/>
        <v>-130.14300000000003</v>
      </c>
      <c r="AJ25" s="227">
        <v>102.42718446601941</v>
      </c>
      <c r="AK25" s="227">
        <v>39.777348414294742</v>
      </c>
      <c r="AL25" s="116">
        <v>-670</v>
      </c>
      <c r="AM25" s="116">
        <v>1099</v>
      </c>
      <c r="AN25" s="116">
        <f t="shared" si="7"/>
        <v>429</v>
      </c>
      <c r="AO25" s="116">
        <v>4309</v>
      </c>
      <c r="AP25" s="116">
        <f t="shared" si="17"/>
        <v>4738</v>
      </c>
      <c r="AQ25" s="230">
        <v>8.8737201365187701E-2</v>
      </c>
    </row>
    <row r="26" spans="1:43">
      <c r="A26" s="99">
        <v>1983</v>
      </c>
      <c r="B26" s="100">
        <v>41848</v>
      </c>
      <c r="C26" s="100">
        <v>97358</v>
      </c>
      <c r="D26" s="100">
        <v>73835</v>
      </c>
      <c r="E26" s="100">
        <v>764665.15118325572</v>
      </c>
      <c r="F26" s="100">
        <v>5237.4325423510663</v>
      </c>
      <c r="G26" s="101">
        <f t="shared" si="0"/>
        <v>5.4727222674191049E-2</v>
      </c>
      <c r="H26" s="101">
        <f t="shared" si="1"/>
        <v>0.12732108930209071</v>
      </c>
      <c r="I26" s="101">
        <f t="shared" si="2"/>
        <v>9.6558604620266109E-2</v>
      </c>
      <c r="J26" s="101">
        <f t="shared" si="3"/>
        <v>2.3006338532957638E-3</v>
      </c>
      <c r="K26" s="101">
        <f t="shared" si="4"/>
        <v>1.5484181013626405E-2</v>
      </c>
      <c r="L26" s="101">
        <f t="shared" si="8"/>
        <v>8.9870043734234517E-3</v>
      </c>
      <c r="M26" s="227">
        <v>36.371781765250063</v>
      </c>
      <c r="N26" s="227">
        <v>-253.584</v>
      </c>
      <c r="O26" s="107">
        <f t="shared" si="9"/>
        <v>-4.8417616446505482E-2</v>
      </c>
      <c r="P26" s="227">
        <v>-253.858</v>
      </c>
      <c r="Q26" s="107">
        <f t="shared" si="10"/>
        <v>-4.8469932156117848E-2</v>
      </c>
      <c r="R26" s="109">
        <v>4.8469932156117848E-2</v>
      </c>
      <c r="S26" s="228">
        <v>253.858</v>
      </c>
      <c r="T26" s="227">
        <v>297.56400000000002</v>
      </c>
      <c r="U26" s="107">
        <f t="shared" si="11"/>
        <v>5.6814860639030684E-2</v>
      </c>
      <c r="V26" s="227">
        <v>551.42200000000003</v>
      </c>
      <c r="W26" s="107">
        <f t="shared" si="12"/>
        <v>0.10528479279514853</v>
      </c>
      <c r="X26" s="227">
        <v>77.724000000000004</v>
      </c>
      <c r="Y26" s="227">
        <v>147.69999999999999</v>
      </c>
      <c r="Z26" s="227">
        <v>-185</v>
      </c>
      <c r="AA26" s="227">
        <v>116.09399999999999</v>
      </c>
      <c r="AB26" s="288">
        <f t="shared" si="13"/>
        <v>2.2166204349409295E-2</v>
      </c>
      <c r="AC26" s="227">
        <v>138.66900000000001</v>
      </c>
      <c r="AD26" s="227">
        <f t="shared" si="14"/>
        <v>216.39300000000003</v>
      </c>
      <c r="AE26" s="107">
        <f t="shared" si="15"/>
        <v>4.1316618066237071E-2</v>
      </c>
      <c r="AF26" s="227">
        <v>-39.520000000000003</v>
      </c>
      <c r="AG26" s="107">
        <f t="shared" si="16"/>
        <v>-7.5456819119735343E-3</v>
      </c>
      <c r="AH26" s="227">
        <v>625.36099999999999</v>
      </c>
      <c r="AI26" s="227">
        <f t="shared" si="5"/>
        <v>-24.847999999999956</v>
      </c>
      <c r="AJ26" s="227">
        <v>102.42718446601941</v>
      </c>
      <c r="AK26" s="227">
        <v>36.371781765250063</v>
      </c>
      <c r="AL26" s="116">
        <v>17837</v>
      </c>
      <c r="AM26" s="116">
        <v>3301</v>
      </c>
      <c r="AN26" s="116">
        <f t="shared" si="7"/>
        <v>21138</v>
      </c>
      <c r="AO26" s="116">
        <v>6288</v>
      </c>
      <c r="AP26" s="116">
        <f t="shared" si="17"/>
        <v>27426</v>
      </c>
      <c r="AQ26" s="230">
        <v>0.14106583072100309</v>
      </c>
    </row>
    <row r="27" spans="1:43">
      <c r="A27" s="99">
        <v>1984</v>
      </c>
      <c r="B27" s="100">
        <v>53703</v>
      </c>
      <c r="C27" s="100">
        <v>120126</v>
      </c>
      <c r="D27" s="100">
        <v>93645</v>
      </c>
      <c r="E27" s="100">
        <v>991182.09136330104</v>
      </c>
      <c r="F27" s="100">
        <v>4062.2216859151686</v>
      </c>
      <c r="G27" s="101">
        <f t="shared" si="0"/>
        <v>5.4180761000368068E-2</v>
      </c>
      <c r="H27" s="101">
        <f t="shared" si="1"/>
        <v>0.12119468364765869</v>
      </c>
      <c r="I27" s="101">
        <f t="shared" si="2"/>
        <v>9.4478099247331956E-2</v>
      </c>
      <c r="J27" s="101">
        <f t="shared" si="3"/>
        <v>-5.4646167382298161E-4</v>
      </c>
      <c r="K27" s="101">
        <f t="shared" si="4"/>
        <v>-6.1264056544320239E-3</v>
      </c>
      <c r="L27" s="101">
        <f t="shared" si="8"/>
        <v>-2.0805053729341522E-3</v>
      </c>
      <c r="M27" s="227">
        <v>57.590479255031767</v>
      </c>
      <c r="N27" s="227">
        <v>-322.47899999999998</v>
      </c>
      <c r="O27" s="107">
        <f t="shared" si="9"/>
        <v>-7.9384884660067351E-2</v>
      </c>
      <c r="P27" s="227">
        <v>-201.95699999999999</v>
      </c>
      <c r="Q27" s="107">
        <f t="shared" si="10"/>
        <v>-4.9715898248547101E-2</v>
      </c>
      <c r="R27" s="109">
        <v>4.9715898248547101E-2</v>
      </c>
      <c r="S27" s="228">
        <v>201.95699999999999</v>
      </c>
      <c r="T27" s="227">
        <v>538.26599999999996</v>
      </c>
      <c r="U27" s="107">
        <f t="shared" si="11"/>
        <v>0.13250532383949284</v>
      </c>
      <c r="V27" s="227">
        <v>740.22299999999996</v>
      </c>
      <c r="W27" s="107">
        <f t="shared" si="12"/>
        <v>0.18222122208803995</v>
      </c>
      <c r="X27" s="227">
        <v>67.17</v>
      </c>
      <c r="Y27" s="227">
        <v>83.35</v>
      </c>
      <c r="Z27" s="227">
        <v>-110.6</v>
      </c>
      <c r="AA27" s="227">
        <v>94.4</v>
      </c>
      <c r="AB27" s="288">
        <f t="shared" si="13"/>
        <v>2.3238515103031078E-2</v>
      </c>
      <c r="AC27" s="227">
        <v>127.029</v>
      </c>
      <c r="AD27" s="227">
        <f t="shared" si="14"/>
        <v>194.19900000000001</v>
      </c>
      <c r="AE27" s="107">
        <f t="shared" si="15"/>
        <v>4.7806105873872164E-2</v>
      </c>
      <c r="AF27" s="227">
        <v>-95.5</v>
      </c>
      <c r="AG27" s="107">
        <f t="shared" si="16"/>
        <v>-2.3509302884951989E-2</v>
      </c>
      <c r="AH27" s="227">
        <v>516.94399999999996</v>
      </c>
      <c r="AI27" s="227">
        <f t="shared" si="5"/>
        <v>-108.41700000000003</v>
      </c>
      <c r="AJ27" s="227">
        <v>194.17475728155341</v>
      </c>
      <c r="AK27" s="227">
        <v>57.590479255031767</v>
      </c>
      <c r="AL27" s="116">
        <v>8100</v>
      </c>
      <c r="AM27" s="116">
        <v>4003</v>
      </c>
      <c r="AN27" s="116">
        <f t="shared" si="7"/>
        <v>12103</v>
      </c>
      <c r="AO27" s="116">
        <v>13513</v>
      </c>
      <c r="AP27" s="116">
        <f t="shared" si="17"/>
        <v>25616</v>
      </c>
      <c r="AQ27" s="230">
        <v>0.29807692307692291</v>
      </c>
    </row>
    <row r="28" spans="1:43">
      <c r="A28" s="99">
        <v>1985</v>
      </c>
      <c r="B28" s="100">
        <v>69563</v>
      </c>
      <c r="C28" s="100">
        <v>143499</v>
      </c>
      <c r="D28" s="100">
        <v>121730</v>
      </c>
      <c r="E28" s="100">
        <v>1307219.3706242959</v>
      </c>
      <c r="F28" s="100">
        <v>2964.2162599190387</v>
      </c>
      <c r="G28" s="101">
        <f t="shared" si="0"/>
        <v>5.3214480723903605E-2</v>
      </c>
      <c r="H28" s="101">
        <f t="shared" si="1"/>
        <v>0.10977423011370188</v>
      </c>
      <c r="I28" s="101">
        <f t="shared" si="2"/>
        <v>9.3121325108474137E-2</v>
      </c>
      <c r="J28" s="101">
        <f t="shared" si="3"/>
        <v>-9.6628027646446235E-4</v>
      </c>
      <c r="K28" s="101">
        <f t="shared" si="4"/>
        <v>-1.1420453533956806E-2</v>
      </c>
      <c r="L28" s="101">
        <f t="shared" si="8"/>
        <v>-1.3567741388578192E-3</v>
      </c>
      <c r="M28" s="227">
        <v>46.393871946193933</v>
      </c>
      <c r="N28" s="227">
        <v>-185.39400000000001</v>
      </c>
      <c r="O28" s="107">
        <f t="shared" si="9"/>
        <v>-6.2544019647562302E-2</v>
      </c>
      <c r="P28" s="227">
        <v>-107.06100000000001</v>
      </c>
      <c r="Q28" s="107">
        <f t="shared" si="10"/>
        <v>-3.6117810109753651E-2</v>
      </c>
      <c r="R28" s="109">
        <v>3.6117810109753651E-2</v>
      </c>
      <c r="S28" s="228">
        <v>107.06100000000001</v>
      </c>
      <c r="T28" s="227">
        <v>620.24800000000005</v>
      </c>
      <c r="U28" s="107">
        <f t="shared" si="11"/>
        <v>0.20924519185281737</v>
      </c>
      <c r="V28" s="227">
        <v>727.30899999999997</v>
      </c>
      <c r="W28" s="107">
        <f t="shared" si="12"/>
        <v>0.24536300196257099</v>
      </c>
      <c r="X28" s="227">
        <v>-2.2410000000000001</v>
      </c>
      <c r="Y28" s="227">
        <v>11.5</v>
      </c>
      <c r="Z28" s="227">
        <v>-65.400000000000006</v>
      </c>
      <c r="AA28" s="227">
        <v>51.66</v>
      </c>
      <c r="AB28" s="288">
        <f t="shared" si="13"/>
        <v>1.7427878221480026E-2</v>
      </c>
      <c r="AC28" s="227">
        <v>108.755</v>
      </c>
      <c r="AD28" s="227">
        <f t="shared" si="14"/>
        <v>106.514</v>
      </c>
      <c r="AE28" s="107">
        <f t="shared" si="15"/>
        <v>3.593327566555795E-2</v>
      </c>
      <c r="AF28" s="227">
        <v>-88.68</v>
      </c>
      <c r="AG28" s="107">
        <f t="shared" si="16"/>
        <v>-2.991684554163471E-2</v>
      </c>
      <c r="AH28" s="227">
        <v>479.75</v>
      </c>
      <c r="AI28" s="227">
        <f t="shared" si="5"/>
        <v>-37.19399999999996</v>
      </c>
      <c r="AJ28" s="227">
        <v>194.17475728155341</v>
      </c>
      <c r="AK28" s="227">
        <v>46.393871946193933</v>
      </c>
      <c r="AL28" s="116">
        <v>3897</v>
      </c>
      <c r="AM28" s="116">
        <v>11078</v>
      </c>
      <c r="AN28" s="116">
        <f t="shared" si="7"/>
        <v>14975</v>
      </c>
      <c r="AO28" s="116">
        <v>-3257</v>
      </c>
      <c r="AP28" s="116">
        <f t="shared" si="17"/>
        <v>11718</v>
      </c>
      <c r="AQ28" s="230">
        <v>0.23068783068783083</v>
      </c>
    </row>
    <row r="29" spans="1:43">
      <c r="A29" s="99">
        <v>1986</v>
      </c>
      <c r="B29" s="100">
        <v>92060</v>
      </c>
      <c r="C29" s="100">
        <v>201113</v>
      </c>
      <c r="D29" s="100">
        <v>154089</v>
      </c>
      <c r="E29" s="100">
        <v>1779709.348981041</v>
      </c>
      <c r="F29" s="100">
        <v>3442.3778510271586</v>
      </c>
      <c r="G29" s="101">
        <f t="shared" si="0"/>
        <v>5.172754756427405E-2</v>
      </c>
      <c r="H29" s="101">
        <f t="shared" si="1"/>
        <v>0.1130032834379084</v>
      </c>
      <c r="I29" s="101">
        <f t="shared" si="2"/>
        <v>8.6580991490673734E-2</v>
      </c>
      <c r="J29" s="101">
        <f t="shared" si="3"/>
        <v>-1.4869331596295554E-3</v>
      </c>
      <c r="K29" s="101">
        <f t="shared" si="4"/>
        <v>3.2290533242065184E-3</v>
      </c>
      <c r="L29" s="101">
        <f t="shared" si="8"/>
        <v>-6.5403336178004035E-3</v>
      </c>
      <c r="M29" s="227">
        <v>46.326781597341608</v>
      </c>
      <c r="N29" s="227">
        <v>-369.97300000000001</v>
      </c>
      <c r="O29" s="107">
        <f t="shared" si="9"/>
        <v>-0.10747599944311897</v>
      </c>
      <c r="P29" s="227">
        <v>-162.43700000000001</v>
      </c>
      <c r="Q29" s="107">
        <f t="shared" si="10"/>
        <v>-4.7187440493068195E-2</v>
      </c>
      <c r="R29" s="109">
        <v>4.7187440493068195E-2</v>
      </c>
      <c r="S29" s="228">
        <v>162.43700000000001</v>
      </c>
      <c r="T29" s="227">
        <v>573.423</v>
      </c>
      <c r="U29" s="107">
        <f t="shared" si="11"/>
        <v>0.16657758817176285</v>
      </c>
      <c r="V29" s="227">
        <v>735.86</v>
      </c>
      <c r="W29" s="107">
        <f t="shared" si="12"/>
        <v>0.21376502866483105</v>
      </c>
      <c r="X29" s="227">
        <v>-129.934</v>
      </c>
      <c r="Y29" s="227">
        <v>73.552000000000007</v>
      </c>
      <c r="Z29" s="227">
        <v>9.66</v>
      </c>
      <c r="AA29" s="227">
        <v>45.822000000000003</v>
      </c>
      <c r="AB29" s="288">
        <f t="shared" si="13"/>
        <v>1.3311147695865909E-2</v>
      </c>
      <c r="AC29" s="227">
        <v>136.93799999999999</v>
      </c>
      <c r="AD29" s="227">
        <f t="shared" si="14"/>
        <v>7.0039999999999907</v>
      </c>
      <c r="AE29" s="107">
        <f t="shared" si="15"/>
        <v>2.0346400956275305E-3</v>
      </c>
      <c r="AF29" s="227">
        <v>-90.075000000000003</v>
      </c>
      <c r="AG29" s="107">
        <f t="shared" si="16"/>
        <v>-2.61665057986365E-2</v>
      </c>
      <c r="AH29" s="227">
        <v>397.51600000000002</v>
      </c>
      <c r="AI29" s="227">
        <f t="shared" si="5"/>
        <v>-82.23399999999998</v>
      </c>
      <c r="AJ29" s="227">
        <v>258.89967637540457</v>
      </c>
      <c r="AK29" s="227">
        <v>46.326781597341608</v>
      </c>
      <c r="AL29" s="116">
        <v>7045</v>
      </c>
      <c r="AM29" s="116">
        <v>7601</v>
      </c>
      <c r="AN29" s="116">
        <f t="shared" si="7"/>
        <v>14646</v>
      </c>
      <c r="AO29" s="116">
        <v>42285</v>
      </c>
      <c r="AP29" s="116">
        <f t="shared" si="17"/>
        <v>56931</v>
      </c>
      <c r="AQ29" s="230">
        <v>0.24118658641444535</v>
      </c>
    </row>
    <row r="30" spans="1:43">
      <c r="A30" s="99">
        <v>1987</v>
      </c>
      <c r="B30" s="100">
        <v>128309</v>
      </c>
      <c r="C30" s="100">
        <v>286885</v>
      </c>
      <c r="D30" s="100">
        <v>218044</v>
      </c>
      <c r="E30" s="100">
        <v>2523915.3420047355</v>
      </c>
      <c r="F30" s="100">
        <v>3778.3163802466097</v>
      </c>
      <c r="G30" s="101">
        <f t="shared" si="0"/>
        <v>5.0837283590536242E-2</v>
      </c>
      <c r="H30" s="101">
        <f t="shared" si="1"/>
        <v>0.11366664928314452</v>
      </c>
      <c r="I30" s="101">
        <f t="shared" si="2"/>
        <v>8.6391170246942026E-2</v>
      </c>
      <c r="J30" s="101">
        <f t="shared" si="3"/>
        <v>-8.9026397373780791E-4</v>
      </c>
      <c r="K30" s="101">
        <f t="shared" si="4"/>
        <v>6.633658452361163E-4</v>
      </c>
      <c r="L30" s="101">
        <f t="shared" si="8"/>
        <v>-1.8982124373170817E-4</v>
      </c>
      <c r="M30" s="227">
        <v>38.813946916029067</v>
      </c>
      <c r="N30" s="227">
        <v>-160.37100000000001</v>
      </c>
      <c r="O30" s="107">
        <f t="shared" si="9"/>
        <v>-4.24450956088364E-2</v>
      </c>
      <c r="P30" s="227">
        <v>-97.21</v>
      </c>
      <c r="Q30" s="107">
        <f t="shared" si="10"/>
        <v>-2.5728390694919816E-2</v>
      </c>
      <c r="R30" s="109">
        <v>2.5728390694919816E-2</v>
      </c>
      <c r="S30" s="228">
        <v>97.21</v>
      </c>
      <c r="T30" s="227">
        <v>951.673</v>
      </c>
      <c r="U30" s="107">
        <f t="shared" si="11"/>
        <v>0.25187753068415214</v>
      </c>
      <c r="V30" s="227">
        <v>1048.883</v>
      </c>
      <c r="W30" s="107">
        <f t="shared" si="12"/>
        <v>0.27760592137907197</v>
      </c>
      <c r="X30" s="227">
        <v>190.06899999999999</v>
      </c>
      <c r="Y30" s="227">
        <v>33.906999999999996</v>
      </c>
      <c r="Z30" s="227">
        <v>85.197000000000003</v>
      </c>
      <c r="AA30" s="227">
        <v>70.965000000000003</v>
      </c>
      <c r="AB30" s="288">
        <f t="shared" si="13"/>
        <v>1.8782175143143554E-2</v>
      </c>
      <c r="AC30" s="227">
        <v>-18.884</v>
      </c>
      <c r="AD30" s="227">
        <f t="shared" si="14"/>
        <v>171.185</v>
      </c>
      <c r="AE30" s="107">
        <f t="shared" si="15"/>
        <v>4.53072169644054E-2</v>
      </c>
      <c r="AF30" s="227">
        <v>53.19</v>
      </c>
      <c r="AG30" s="107">
        <f t="shared" si="16"/>
        <v>1.4077698807352998E-2</v>
      </c>
      <c r="AH30" s="227">
        <v>437.31399999999996</v>
      </c>
      <c r="AI30" s="227">
        <f t="shared" si="5"/>
        <v>39.797999999999945</v>
      </c>
      <c r="AJ30" s="227">
        <v>258.89967637540457</v>
      </c>
      <c r="AK30" s="227">
        <v>38.813946916029067</v>
      </c>
      <c r="AL30" s="116">
        <v>9705</v>
      </c>
      <c r="AM30" s="116">
        <v>25694</v>
      </c>
      <c r="AN30" s="116">
        <f t="shared" si="7"/>
        <v>35399</v>
      </c>
      <c r="AO30" s="116">
        <v>-4046</v>
      </c>
      <c r="AP30" s="116">
        <f t="shared" si="17"/>
        <v>31353</v>
      </c>
      <c r="AQ30" s="230">
        <v>0.32040180117769324</v>
      </c>
    </row>
    <row r="31" spans="1:43">
      <c r="A31" s="99">
        <v>1988</v>
      </c>
      <c r="B31" s="100">
        <v>159275</v>
      </c>
      <c r="C31" s="100">
        <v>354311</v>
      </c>
      <c r="D31" s="100">
        <v>273243</v>
      </c>
      <c r="E31" s="100">
        <v>3429405.8003171985</v>
      </c>
      <c r="F31" s="100">
        <v>4082.6259527585694</v>
      </c>
      <c r="G31" s="101">
        <f t="shared" si="0"/>
        <v>4.6443905817523279E-2</v>
      </c>
      <c r="H31" s="101">
        <f t="shared" si="1"/>
        <v>0.10331556561991831</v>
      </c>
      <c r="I31" s="101">
        <f t="shared" si="2"/>
        <v>7.9676485056019541E-2</v>
      </c>
      <c r="J31" s="101">
        <f t="shared" si="3"/>
        <v>-4.3933777730129631E-3</v>
      </c>
      <c r="K31" s="101">
        <f t="shared" si="4"/>
        <v>-1.0351083663226207E-2</v>
      </c>
      <c r="L31" s="101">
        <f t="shared" si="8"/>
        <v>-6.7146851909224842E-3</v>
      </c>
      <c r="M31" s="227">
        <v>40.422266804144485</v>
      </c>
      <c r="N31" s="227">
        <v>-160.10900000000001</v>
      </c>
      <c r="O31" s="107">
        <f t="shared" si="9"/>
        <v>-3.9217161173390559E-2</v>
      </c>
      <c r="P31" s="227">
        <v>68.745999999999995</v>
      </c>
      <c r="Q31" s="107">
        <f t="shared" si="10"/>
        <v>1.6838672167247982E-2</v>
      </c>
      <c r="R31" s="109">
        <v>-1.6838672167247982E-2</v>
      </c>
      <c r="S31" s="228">
        <v>-68.745999999999995</v>
      </c>
      <c r="T31" s="227">
        <v>1098.0840000000001</v>
      </c>
      <c r="U31" s="107">
        <f t="shared" si="11"/>
        <v>0.26896512507055442</v>
      </c>
      <c r="V31" s="227">
        <v>1029.338</v>
      </c>
      <c r="W31" s="107">
        <f t="shared" si="12"/>
        <v>0.25212645290330643</v>
      </c>
      <c r="X31" s="227">
        <v>-18.489000000000001</v>
      </c>
      <c r="Y31" s="227">
        <v>-29.954000000000001</v>
      </c>
      <c r="Z31" s="227">
        <v>52.534999999999997</v>
      </c>
      <c r="AA31" s="227">
        <v>64</v>
      </c>
      <c r="AB31" s="288">
        <f t="shared" si="13"/>
        <v>1.5676185068278458E-2</v>
      </c>
      <c r="AC31" s="227">
        <v>-3.0550000000000002</v>
      </c>
      <c r="AD31" s="227">
        <f t="shared" si="14"/>
        <v>-21.544</v>
      </c>
      <c r="AE31" s="107">
        <f t="shared" si="15"/>
        <v>-5.2769957986092365E-3</v>
      </c>
      <c r="AF31" s="227">
        <v>-135.30000000000001</v>
      </c>
      <c r="AG31" s="107">
        <f t="shared" si="16"/>
        <v>-3.3140434995907429E-2</v>
      </c>
      <c r="AH31" s="227">
        <v>304.238</v>
      </c>
      <c r="AI31" s="227">
        <f t="shared" si="5"/>
        <v>-133.07599999999996</v>
      </c>
      <c r="AJ31" s="227">
        <v>323.62459546925567</v>
      </c>
      <c r="AK31" s="227">
        <v>40.422266804144485</v>
      </c>
      <c r="AL31" s="116">
        <v>10583</v>
      </c>
      <c r="AM31" s="116">
        <v>20226</v>
      </c>
      <c r="AN31" s="116">
        <f t="shared" si="7"/>
        <v>30809</v>
      </c>
      <c r="AO31" s="116">
        <v>29687</v>
      </c>
      <c r="AP31" s="116">
        <f t="shared" si="17"/>
        <v>60496</v>
      </c>
      <c r="AQ31" s="230">
        <v>0.16946484784889826</v>
      </c>
    </row>
    <row r="32" spans="1:43">
      <c r="A32" s="99">
        <v>1989</v>
      </c>
      <c r="B32" s="100">
        <v>229907</v>
      </c>
      <c r="C32" s="100">
        <v>450736</v>
      </c>
      <c r="D32" s="100">
        <v>374504</v>
      </c>
      <c r="E32" s="100">
        <v>4858488.9672426693</v>
      </c>
      <c r="F32" s="100">
        <v>4337.9365778952397</v>
      </c>
      <c r="G32" s="101">
        <f t="shared" si="0"/>
        <v>4.7320679649598706E-2</v>
      </c>
      <c r="H32" s="101">
        <f t="shared" si="1"/>
        <v>9.2772877130933462E-2</v>
      </c>
      <c r="I32" s="101">
        <f t="shared" si="2"/>
        <v>7.7082402064718836E-2</v>
      </c>
      <c r="J32" s="101">
        <f t="shared" si="3"/>
        <v>8.7677383207542675E-4</v>
      </c>
      <c r="K32" s="101">
        <f t="shared" si="4"/>
        <v>-1.0542688488984847E-2</v>
      </c>
      <c r="L32" s="101">
        <f t="shared" si="8"/>
        <v>-2.5940829913007057E-3</v>
      </c>
      <c r="M32" s="227">
        <v>102.89101598633319</v>
      </c>
      <c r="N32" s="227">
        <v>-82.5</v>
      </c>
      <c r="O32" s="107">
        <f t="shared" si="9"/>
        <v>-1.9018258685568168E-2</v>
      </c>
      <c r="P32" s="227"/>
      <c r="Q32" s="227"/>
      <c r="R32" s="227"/>
      <c r="S32" s="227"/>
      <c r="T32" s="227"/>
      <c r="U32" s="227"/>
      <c r="V32" s="227"/>
      <c r="W32" s="227"/>
      <c r="X32" s="227">
        <v>114.4</v>
      </c>
      <c r="Y32" s="227"/>
      <c r="Z32" s="227"/>
      <c r="AA32" s="227"/>
      <c r="AB32" s="288">
        <f t="shared" si="13"/>
        <v>0</v>
      </c>
      <c r="AC32" s="227"/>
      <c r="AD32" s="227"/>
      <c r="AE32" s="227"/>
      <c r="AF32" s="227"/>
      <c r="AG32" s="227"/>
      <c r="AH32" s="227">
        <v>427.90999999999997</v>
      </c>
      <c r="AI32" s="227">
        <f t="shared" si="5"/>
        <v>123.67199999999997</v>
      </c>
      <c r="AJ32" s="227">
        <v>987.0550161812298</v>
      </c>
      <c r="AK32" s="227">
        <v>102.89101598633319</v>
      </c>
      <c r="AL32" s="116">
        <v>-2577</v>
      </c>
      <c r="AM32" s="116">
        <v>-2690</v>
      </c>
      <c r="AN32" s="116">
        <f t="shared" si="7"/>
        <v>-5267</v>
      </c>
      <c r="AO32" s="116">
        <v>24914</v>
      </c>
      <c r="AP32" s="229"/>
      <c r="AQ32" s="230">
        <v>0.28532974427994606</v>
      </c>
    </row>
    <row r="33" spans="1:43">
      <c r="A33" s="99">
        <v>1990</v>
      </c>
      <c r="B33" s="100">
        <v>325268</v>
      </c>
      <c r="C33" s="100">
        <v>547123</v>
      </c>
      <c r="D33" s="100">
        <v>490566</v>
      </c>
      <c r="E33" s="100">
        <v>7003958.8827211782</v>
      </c>
      <c r="F33" s="100"/>
      <c r="G33" s="101">
        <f t="shared" si="0"/>
        <v>4.6440592448713361E-2</v>
      </c>
      <c r="H33" s="101">
        <f t="shared" si="1"/>
        <v>7.8116249561338336E-2</v>
      </c>
      <c r="I33" s="101">
        <f t="shared" si="2"/>
        <v>7.0041244989348841E-2</v>
      </c>
      <c r="J33" s="101">
        <f t="shared" si="3"/>
        <v>-8.800872008853447E-4</v>
      </c>
      <c r="K33" s="101">
        <f t="shared" si="4"/>
        <v>-1.4656627569595126E-2</v>
      </c>
      <c r="L33" s="101">
        <f t="shared" si="8"/>
        <v>-7.0411570753699942E-3</v>
      </c>
      <c r="M33" s="102">
        <v>78.766237996208091</v>
      </c>
      <c r="N33" s="102">
        <v>-208.8</v>
      </c>
      <c r="O33" s="102"/>
      <c r="P33" s="102"/>
      <c r="Q33" s="102"/>
      <c r="R33" s="102"/>
      <c r="S33" s="102"/>
      <c r="T33" s="102"/>
      <c r="U33" s="102"/>
      <c r="V33" s="102"/>
      <c r="W33" s="102"/>
      <c r="X33" s="102"/>
      <c r="Y33" s="102"/>
      <c r="Z33" s="102"/>
      <c r="AA33" s="102"/>
      <c r="AB33" s="288" t="e">
        <f t="shared" si="13"/>
        <v>#DIV/0!</v>
      </c>
      <c r="AC33" s="102"/>
      <c r="AD33" s="102"/>
      <c r="AE33" s="102"/>
      <c r="AF33" s="102"/>
      <c r="AG33" s="102"/>
      <c r="AH33" s="86">
        <v>675</v>
      </c>
      <c r="AI33" s="105">
        <f t="shared" si="5"/>
        <v>247.09000000000003</v>
      </c>
      <c r="AJ33" s="86">
        <v>1021.8446601941748</v>
      </c>
      <c r="AK33" s="102">
        <v>78.766237996208091</v>
      </c>
      <c r="AL33" s="82">
        <v>16089</v>
      </c>
      <c r="AM33" s="82">
        <v>64882</v>
      </c>
      <c r="AN33" s="82">
        <f t="shared" si="7"/>
        <v>80971</v>
      </c>
      <c r="AO33" s="82">
        <v>4927</v>
      </c>
      <c r="AP33" s="85"/>
      <c r="AQ33" s="115">
        <v>0.44066317626527063</v>
      </c>
    </row>
    <row r="34" spans="1:43">
      <c r="A34" s="99">
        <v>1991</v>
      </c>
      <c r="B34" s="100">
        <v>424016</v>
      </c>
      <c r="C34" s="100">
        <v>687580</v>
      </c>
      <c r="D34" s="100">
        <v>625167</v>
      </c>
      <c r="E34" s="100">
        <v>9255684.1593739633</v>
      </c>
      <c r="F34" s="100"/>
      <c r="G34" s="101">
        <f t="shared" si="0"/>
        <v>4.5811416282022274E-2</v>
      </c>
      <c r="H34" s="101">
        <f t="shared" si="1"/>
        <v>7.4287323136845954E-2</v>
      </c>
      <c r="I34" s="101">
        <f t="shared" si="2"/>
        <v>6.7544115511638747E-2</v>
      </c>
      <c r="J34" s="101">
        <f t="shared" si="3"/>
        <v>-6.2917616669108667E-4</v>
      </c>
      <c r="K34" s="101">
        <f t="shared" si="4"/>
        <v>-3.8289264244923821E-3</v>
      </c>
      <c r="L34" s="101">
        <f t="shared" si="8"/>
        <v>-2.4971294777100944E-3</v>
      </c>
      <c r="M34" s="102">
        <v>69.33283520842312</v>
      </c>
      <c r="N34" s="102">
        <v>-455.9</v>
      </c>
      <c r="O34" s="102"/>
      <c r="P34" s="102"/>
      <c r="Q34" s="102"/>
      <c r="R34" s="102"/>
      <c r="S34" s="102"/>
      <c r="T34" s="102"/>
      <c r="U34" s="102"/>
      <c r="V34" s="102"/>
      <c r="W34" s="102"/>
      <c r="X34" s="102"/>
      <c r="Y34" s="102"/>
      <c r="Z34" s="102"/>
      <c r="AA34" s="102"/>
      <c r="AB34" s="288" t="e">
        <f t="shared" si="13"/>
        <v>#DIV/0!</v>
      </c>
      <c r="AC34" s="102"/>
      <c r="AD34" s="102"/>
      <c r="AE34" s="102"/>
      <c r="AF34" s="102"/>
      <c r="AG34" s="102"/>
      <c r="AH34" s="86">
        <v>975</v>
      </c>
      <c r="AI34" s="105">
        <f t="shared" si="5"/>
        <v>300</v>
      </c>
      <c r="AJ34" s="86">
        <v>1093.8511326860842</v>
      </c>
      <c r="AK34" s="102">
        <v>69.33283520842312</v>
      </c>
      <c r="AL34" s="85"/>
      <c r="AM34" s="85"/>
      <c r="AN34" s="85"/>
      <c r="AO34" s="85"/>
      <c r="AP34" s="85"/>
      <c r="AQ34" s="115">
        <v>0.11811023622047245</v>
      </c>
    </row>
    <row r="35" spans="1:43">
      <c r="A35" s="99">
        <v>1992</v>
      </c>
      <c r="B35" s="100">
        <v>577743</v>
      </c>
      <c r="C35" s="100">
        <v>901981</v>
      </c>
      <c r="D35" s="100">
        <v>803575</v>
      </c>
      <c r="E35" s="100">
        <v>10738283.273766331</v>
      </c>
      <c r="F35" s="100"/>
      <c r="G35" s="101">
        <f t="shared" ref="G35:G57" si="18">B35/E35</f>
        <v>5.3802175382300491E-2</v>
      </c>
      <c r="H35" s="101">
        <f t="shared" ref="H35:H57" si="19">C35/E35</f>
        <v>8.3996759724484379E-2</v>
      </c>
      <c r="I35" s="101">
        <f t="shared" si="2"/>
        <v>7.4832725074699499E-2</v>
      </c>
      <c r="J35" s="101">
        <f t="shared" si="3"/>
        <v>7.9907591002782163E-3</v>
      </c>
      <c r="K35" s="101">
        <f t="shared" si="4"/>
        <v>9.7094365876384259E-3</v>
      </c>
      <c r="L35" s="101">
        <f t="shared" si="8"/>
        <v>7.2886095630607522E-3</v>
      </c>
      <c r="M35" s="102">
        <v>74.758070416368312</v>
      </c>
      <c r="N35" s="102">
        <v>-389.9</v>
      </c>
      <c r="O35" s="102"/>
      <c r="P35" s="102"/>
      <c r="Q35" s="102"/>
      <c r="R35" s="102"/>
      <c r="S35" s="102"/>
      <c r="T35" s="102"/>
      <c r="U35" s="102"/>
      <c r="V35" s="102"/>
      <c r="W35" s="102"/>
      <c r="X35" s="102"/>
      <c r="Y35" s="102"/>
      <c r="Z35" s="102"/>
      <c r="AA35" s="102"/>
      <c r="AB35" s="288" t="e">
        <f t="shared" si="13"/>
        <v>#DIV/0!</v>
      </c>
      <c r="AC35" s="102"/>
      <c r="AD35" s="102"/>
      <c r="AE35" s="102"/>
      <c r="AF35" s="102"/>
      <c r="AG35" s="102"/>
      <c r="AH35" s="86">
        <v>610.70000000000005</v>
      </c>
      <c r="AI35" s="105">
        <f t="shared" si="5"/>
        <v>-364.29999999999995</v>
      </c>
      <c r="AJ35" s="86">
        <v>1294.4983818770227</v>
      </c>
      <c r="AK35" s="102">
        <v>74.758070416368312</v>
      </c>
      <c r="AL35" s="85"/>
      <c r="AM35" s="85"/>
      <c r="AN35" s="85"/>
      <c r="AO35" s="85"/>
      <c r="AP35" s="85"/>
      <c r="AQ35" s="115">
        <v>0.17811484290357549</v>
      </c>
    </row>
    <row r="36" spans="1:43">
      <c r="A36" s="99">
        <v>1993</v>
      </c>
      <c r="B36" s="100">
        <v>698486</v>
      </c>
      <c r="C36" s="100">
        <v>1053311</v>
      </c>
      <c r="D36" s="100">
        <v>958328</v>
      </c>
      <c r="E36" s="100">
        <v>12645361.493907506</v>
      </c>
      <c r="F36" s="100"/>
      <c r="G36" s="101">
        <f t="shared" si="18"/>
        <v>5.5236538736874251E-2</v>
      </c>
      <c r="H36" s="101">
        <f t="shared" si="19"/>
        <v>8.3296234789925289E-2</v>
      </c>
      <c r="I36" s="101">
        <f t="shared" si="2"/>
        <v>7.5784942997613736E-2</v>
      </c>
      <c r="J36" s="101">
        <f t="shared" si="3"/>
        <v>1.4343633545737602E-3</v>
      </c>
      <c r="K36" s="101">
        <f t="shared" si="4"/>
        <v>-7.0052493455909082E-4</v>
      </c>
      <c r="L36" s="101">
        <f t="shared" si="8"/>
        <v>9.5221792291423635E-4</v>
      </c>
      <c r="M36" s="102">
        <v>72.524102544074296</v>
      </c>
      <c r="N36" s="102">
        <v>-834</v>
      </c>
      <c r="O36" s="102"/>
      <c r="P36" s="102"/>
      <c r="Q36" s="102"/>
      <c r="R36" s="102"/>
      <c r="S36" s="102"/>
      <c r="T36" s="102"/>
      <c r="U36" s="102"/>
      <c r="V36" s="102"/>
      <c r="W36" s="102"/>
      <c r="X36" s="102"/>
      <c r="Y36" s="102"/>
      <c r="Z36" s="102"/>
      <c r="AA36" s="102"/>
      <c r="AB36" s="288" t="e">
        <f t="shared" si="13"/>
        <v>#DIV/0!</v>
      </c>
      <c r="AC36" s="102"/>
      <c r="AD36" s="102"/>
      <c r="AE36" s="102"/>
      <c r="AF36" s="102"/>
      <c r="AG36" s="102"/>
      <c r="AH36" s="86">
        <v>697.7</v>
      </c>
      <c r="AI36" s="105">
        <f t="shared" si="5"/>
        <v>87</v>
      </c>
      <c r="AJ36" s="86">
        <v>1474.1100323624596</v>
      </c>
      <c r="AK36" s="102">
        <v>72.524102544074296</v>
      </c>
      <c r="AL36" s="85"/>
      <c r="AM36" s="85"/>
      <c r="AN36" s="85"/>
      <c r="AO36" s="85"/>
      <c r="AP36" s="85"/>
      <c r="AQ36" s="115">
        <v>0.20406474158543286</v>
      </c>
    </row>
    <row r="37" spans="1:43">
      <c r="A37" s="99">
        <v>1994</v>
      </c>
      <c r="B37" s="100">
        <v>870031</v>
      </c>
      <c r="C37" s="100">
        <v>1342253</v>
      </c>
      <c r="D37" s="100">
        <v>1272596</v>
      </c>
      <c r="E37" s="100">
        <v>14992331.683506493</v>
      </c>
      <c r="F37" s="100"/>
      <c r="G37" s="101">
        <f t="shared" si="18"/>
        <v>5.8031733713385415E-2</v>
      </c>
      <c r="H37" s="101">
        <f t="shared" si="19"/>
        <v>8.9529302601852934E-2</v>
      </c>
      <c r="I37" s="101">
        <f t="shared" ref="I37:I57" si="20">D37/E37</f>
        <v>8.4883127379046755E-2</v>
      </c>
      <c r="J37" s="101">
        <f t="shared" si="3"/>
        <v>2.7951949765111644E-3</v>
      </c>
      <c r="K37" s="101">
        <f t="shared" si="4"/>
        <v>6.233067811927645E-3</v>
      </c>
      <c r="L37" s="101">
        <f t="shared" si="8"/>
        <v>9.0981843814330193E-3</v>
      </c>
      <c r="M37" s="102">
        <v>63.62196229630738</v>
      </c>
      <c r="N37" s="102">
        <v>-1060</v>
      </c>
      <c r="O37" s="102"/>
      <c r="P37" s="102"/>
      <c r="Q37" s="102"/>
      <c r="R37" s="102"/>
      <c r="S37" s="102"/>
      <c r="T37" s="102"/>
      <c r="U37" s="102"/>
      <c r="V37" s="102"/>
      <c r="W37" s="102"/>
      <c r="X37" s="102"/>
      <c r="Y37" s="102"/>
      <c r="Z37" s="102"/>
      <c r="AA37" s="102"/>
      <c r="AB37" s="288" t="e">
        <f t="shared" si="13"/>
        <v>#DIV/0!</v>
      </c>
      <c r="AC37" s="102"/>
      <c r="AD37" s="102"/>
      <c r="AE37" s="102"/>
      <c r="AF37" s="102"/>
      <c r="AG37" s="102"/>
      <c r="AH37" s="86">
        <v>1044.0999999999999</v>
      </c>
      <c r="AI37" s="105">
        <f t="shared" si="5"/>
        <v>346.39999999999986</v>
      </c>
      <c r="AJ37" s="86">
        <v>1552.588996763754</v>
      </c>
      <c r="AK37" s="102">
        <v>63.62196229630738</v>
      </c>
      <c r="AL37" s="85"/>
      <c r="AM37" s="85"/>
      <c r="AN37" s="85"/>
      <c r="AO37" s="85"/>
      <c r="AP37" s="85"/>
      <c r="AQ37" s="115">
        <v>0.18276941877339037</v>
      </c>
    </row>
    <row r="38" spans="1:43">
      <c r="A38" s="99">
        <v>1995</v>
      </c>
      <c r="B38" s="100">
        <v>1035739</v>
      </c>
      <c r="C38" s="100">
        <v>1650909</v>
      </c>
      <c r="D38" s="100">
        <v>1539364</v>
      </c>
      <c r="E38" s="100">
        <v>17789145.328094486</v>
      </c>
      <c r="F38" s="100"/>
      <c r="G38" s="101">
        <f t="shared" si="18"/>
        <v>5.822308946817429E-2</v>
      </c>
      <c r="H38" s="101">
        <f t="shared" si="19"/>
        <v>9.2804289894282396E-2</v>
      </c>
      <c r="I38" s="101">
        <f t="shared" si="20"/>
        <v>8.6533893090910599E-2</v>
      </c>
      <c r="J38" s="101">
        <f t="shared" si="3"/>
        <v>1.9135575478887445E-4</v>
      </c>
      <c r="K38" s="101">
        <f t="shared" si="4"/>
        <v>3.2749872924294626E-3</v>
      </c>
      <c r="L38" s="101">
        <f t="shared" si="8"/>
        <v>1.6507657118638441E-3</v>
      </c>
      <c r="M38" s="102">
        <v>58.997529535025464</v>
      </c>
      <c r="N38" s="102">
        <v>-92.3392565664183</v>
      </c>
      <c r="O38" s="102"/>
      <c r="P38" s="102">
        <v>-270.43925656641841</v>
      </c>
      <c r="Q38" s="102"/>
      <c r="R38" s="102"/>
      <c r="S38" s="102"/>
      <c r="T38" s="102">
        <v>4218.5981724335816</v>
      </c>
      <c r="U38" s="102"/>
      <c r="V38" s="102">
        <v>4489.037429</v>
      </c>
      <c r="W38" s="102"/>
      <c r="X38" s="102"/>
      <c r="Y38" s="102"/>
      <c r="Z38" s="102"/>
      <c r="AA38" s="102"/>
      <c r="AB38" s="288" t="e">
        <f t="shared" si="13"/>
        <v>#DIV/0!</v>
      </c>
      <c r="AC38" s="102"/>
      <c r="AD38" s="102"/>
      <c r="AE38" s="102"/>
      <c r="AF38" s="102"/>
      <c r="AG38" s="102"/>
      <c r="AH38" s="86">
        <v>1106.5</v>
      </c>
      <c r="AI38" s="105">
        <f t="shared" si="5"/>
        <v>62.400000000000091</v>
      </c>
      <c r="AJ38" s="86">
        <v>1599.5145631067962</v>
      </c>
      <c r="AK38" s="102">
        <v>58.997529535025464</v>
      </c>
      <c r="AL38" s="85"/>
      <c r="AM38" s="85"/>
      <c r="AN38" s="85"/>
      <c r="AO38" s="85"/>
      <c r="AP38" s="85"/>
      <c r="AQ38" s="115">
        <v>0.10533159947984405</v>
      </c>
    </row>
    <row r="39" spans="1:43">
      <c r="A39" s="99">
        <v>1996</v>
      </c>
      <c r="B39" s="100">
        <v>1094087</v>
      </c>
      <c r="C39" s="100">
        <v>1703493</v>
      </c>
      <c r="D39" s="100">
        <v>1570673</v>
      </c>
      <c r="E39" s="100">
        <v>20132862.098148197</v>
      </c>
      <c r="F39" s="100"/>
      <c r="G39" s="101">
        <f t="shared" si="18"/>
        <v>5.4343341481519071E-2</v>
      </c>
      <c r="H39" s="101">
        <f t="shared" si="19"/>
        <v>8.4612559888178326E-2</v>
      </c>
      <c r="I39" s="101">
        <f t="shared" si="20"/>
        <v>7.8015385609007337E-2</v>
      </c>
      <c r="J39" s="101">
        <f t="shared" si="3"/>
        <v>-3.8797479866552187E-3</v>
      </c>
      <c r="K39" s="101">
        <f t="shared" si="4"/>
        <v>-8.1917300061040699E-3</v>
      </c>
      <c r="L39" s="101">
        <f t="shared" si="8"/>
        <v>-8.5185074819032619E-3</v>
      </c>
      <c r="M39" s="102">
        <v>58.580832518500202</v>
      </c>
      <c r="N39" s="102">
        <v>-352.91875185072956</v>
      </c>
      <c r="O39" s="102"/>
      <c r="P39" s="102">
        <v>-586.51875185072959</v>
      </c>
      <c r="Q39" s="102"/>
      <c r="R39" s="102"/>
      <c r="S39" s="102"/>
      <c r="T39" s="102">
        <v>3796.9038881492702</v>
      </c>
      <c r="U39" s="102"/>
      <c r="V39" s="102">
        <v>4383.4226399999998</v>
      </c>
      <c r="W39" s="102"/>
      <c r="X39" s="102"/>
      <c r="Y39" s="102"/>
      <c r="Z39" s="102"/>
      <c r="AA39" s="102"/>
      <c r="AB39" s="288" t="e">
        <f t="shared" si="13"/>
        <v>#DIV/0!</v>
      </c>
      <c r="AC39" s="102"/>
      <c r="AD39" s="102"/>
      <c r="AE39" s="102"/>
      <c r="AF39" s="102"/>
      <c r="AG39" s="102"/>
      <c r="AH39" s="86">
        <v>1062.25</v>
      </c>
      <c r="AI39" s="105">
        <f t="shared" si="5"/>
        <v>-44.25</v>
      </c>
      <c r="AJ39" s="86">
        <v>1707.1197411003236</v>
      </c>
      <c r="AK39" s="102">
        <v>58.580832518500202</v>
      </c>
      <c r="AL39" s="85"/>
      <c r="AM39" s="85"/>
      <c r="AN39" s="85"/>
      <c r="AO39" s="85"/>
      <c r="AP39" s="85"/>
      <c r="AQ39" s="115">
        <v>8.1764705882352962E-2</v>
      </c>
    </row>
    <row r="40" spans="1:43">
      <c r="A40" s="99">
        <v>1997</v>
      </c>
      <c r="B40" s="100">
        <v>1253694</v>
      </c>
      <c r="C40" s="100">
        <v>1831797</v>
      </c>
      <c r="D40" s="100">
        <v>1789142</v>
      </c>
      <c r="E40" s="100">
        <v>21702866.395208146</v>
      </c>
      <c r="F40" s="100"/>
      <c r="G40" s="101">
        <f t="shared" si="18"/>
        <v>5.7766286589535823E-2</v>
      </c>
      <c r="H40" s="101">
        <f t="shared" si="19"/>
        <v>8.4403459277823736E-2</v>
      </c>
      <c r="I40" s="101">
        <f t="shared" si="20"/>
        <v>8.243805068970203E-2</v>
      </c>
      <c r="J40" s="101">
        <f t="shared" si="3"/>
        <v>3.4229451080167519E-3</v>
      </c>
      <c r="K40" s="101">
        <f t="shared" si="4"/>
        <v>-2.0910061035459004E-4</v>
      </c>
      <c r="L40" s="101">
        <f t="shared" si="8"/>
        <v>4.4226650806946932E-3</v>
      </c>
      <c r="M40" s="102">
        <v>61.5418631245198</v>
      </c>
      <c r="N40" s="102">
        <v>-650.44050026709522</v>
      </c>
      <c r="O40" s="102"/>
      <c r="P40" s="102">
        <v>-864.89950026709539</v>
      </c>
      <c r="Q40" s="102"/>
      <c r="R40" s="102"/>
      <c r="S40" s="102"/>
      <c r="T40" s="102">
        <v>3327.5104997329045</v>
      </c>
      <c r="U40" s="102"/>
      <c r="V40" s="102">
        <v>4192.41</v>
      </c>
      <c r="W40" s="102"/>
      <c r="X40" s="102"/>
      <c r="Y40" s="102"/>
      <c r="Z40" s="102"/>
      <c r="AA40" s="102"/>
      <c r="AB40" s="288" t="e">
        <f t="shared" si="13"/>
        <v>#DIV/0!</v>
      </c>
      <c r="AC40" s="102"/>
      <c r="AD40" s="102"/>
      <c r="AE40" s="102"/>
      <c r="AF40" s="102"/>
      <c r="AG40" s="102"/>
      <c r="AH40" s="86">
        <v>845.80805300000009</v>
      </c>
      <c r="AI40" s="105">
        <f t="shared" si="5"/>
        <v>-216.44194699999991</v>
      </c>
      <c r="AJ40" s="86">
        <v>1909.3851132686084</v>
      </c>
      <c r="AK40" s="102">
        <v>61.5418631245198</v>
      </c>
      <c r="AL40" s="85"/>
      <c r="AM40" s="85"/>
      <c r="AN40" s="85"/>
      <c r="AO40" s="85"/>
      <c r="AP40" s="85"/>
      <c r="AQ40" s="115">
        <v>6.1990212071778128E-2</v>
      </c>
    </row>
    <row r="41" spans="1:43">
      <c r="A41" s="99">
        <v>1998</v>
      </c>
      <c r="B41" s="100">
        <v>1409138</v>
      </c>
      <c r="C41" s="100">
        <v>1987333</v>
      </c>
      <c r="D41" s="100">
        <v>1922271</v>
      </c>
      <c r="E41" s="100">
        <v>24605392.360497016</v>
      </c>
      <c r="F41" s="100"/>
      <c r="G41" s="101">
        <f t="shared" si="18"/>
        <v>5.726947895625982E-2</v>
      </c>
      <c r="H41" s="101">
        <f t="shared" si="19"/>
        <v>8.0768189788779171E-2</v>
      </c>
      <c r="I41" s="101">
        <f t="shared" si="20"/>
        <v>7.8123972657559812E-2</v>
      </c>
      <c r="J41" s="101">
        <f t="shared" si="3"/>
        <v>-4.9680763327600297E-4</v>
      </c>
      <c r="K41" s="101">
        <f t="shared" si="4"/>
        <v>-3.6352694890445653E-3</v>
      </c>
      <c r="L41" s="101">
        <f t="shared" si="8"/>
        <v>-4.3140780321422184E-3</v>
      </c>
      <c r="M41" s="102">
        <v>65.809265966331807</v>
      </c>
      <c r="N41" s="102">
        <v>-159.95139988186881</v>
      </c>
      <c r="O41" s="102"/>
      <c r="P41" s="102">
        <v>-392.85139988186893</v>
      </c>
      <c r="Q41" s="102"/>
      <c r="R41" s="102"/>
      <c r="S41" s="102"/>
      <c r="T41" s="102">
        <v>3548.6486001181311</v>
      </c>
      <c r="U41" s="102"/>
      <c r="V41" s="102">
        <v>3941.5</v>
      </c>
      <c r="W41" s="102"/>
      <c r="X41" s="102"/>
      <c r="Y41" s="102"/>
      <c r="Z41" s="102"/>
      <c r="AA41" s="102"/>
      <c r="AB41" s="288" t="e">
        <f t="shared" si="13"/>
        <v>#DIV/0!</v>
      </c>
      <c r="AC41" s="102"/>
      <c r="AD41" s="102"/>
      <c r="AE41" s="102"/>
      <c r="AF41" s="102"/>
      <c r="AG41" s="102"/>
      <c r="AH41" s="86">
        <v>874.7526499999999</v>
      </c>
      <c r="AI41" s="105">
        <f t="shared" si="5"/>
        <v>28.944596999999817</v>
      </c>
      <c r="AJ41" s="86">
        <v>2297.7346278317154</v>
      </c>
      <c r="AK41" s="102">
        <v>65.809265966331807</v>
      </c>
      <c r="AL41" s="85"/>
      <c r="AM41" s="85"/>
      <c r="AN41" s="85"/>
      <c r="AO41" s="85"/>
      <c r="AP41" s="85"/>
      <c r="AQ41" s="115">
        <v>0.14644137224782372</v>
      </c>
    </row>
    <row r="42" spans="1:43">
      <c r="A42" s="99">
        <v>1999</v>
      </c>
      <c r="B42" s="100">
        <v>1587497</v>
      </c>
      <c r="C42" s="100">
        <v>2138545</v>
      </c>
      <c r="D42" s="100">
        <v>2103845</v>
      </c>
      <c r="E42" s="100">
        <v>26176950.737209246</v>
      </c>
      <c r="F42" s="100"/>
      <c r="G42" s="101">
        <f t="shared" si="18"/>
        <v>6.0644840414642E-2</v>
      </c>
      <c r="H42" s="101">
        <f t="shared" si="19"/>
        <v>8.1695726193202617E-2</v>
      </c>
      <c r="I42" s="101">
        <f t="shared" si="20"/>
        <v>8.0370132530733912E-2</v>
      </c>
      <c r="J42" s="101">
        <f t="shared" si="3"/>
        <v>3.3753614583821798E-3</v>
      </c>
      <c r="K42" s="101">
        <f t="shared" si="4"/>
        <v>9.2753640442344576E-4</v>
      </c>
      <c r="L42" s="101">
        <f t="shared" si="8"/>
        <v>2.2461598731741E-3</v>
      </c>
      <c r="M42" s="102">
        <v>73.266125204014344</v>
      </c>
      <c r="N42" s="102">
        <v>-165.39999999999949</v>
      </c>
      <c r="O42" s="102"/>
      <c r="P42" s="102">
        <v>-440.49999999999955</v>
      </c>
      <c r="Q42" s="102"/>
      <c r="R42" s="102"/>
      <c r="S42" s="102"/>
      <c r="T42" s="102">
        <v>2312.4</v>
      </c>
      <c r="U42" s="102"/>
      <c r="V42" s="102">
        <v>2752.9</v>
      </c>
      <c r="W42" s="102"/>
      <c r="X42" s="102"/>
      <c r="Y42" s="102"/>
      <c r="Z42" s="102"/>
      <c r="AA42" s="102"/>
      <c r="AB42" s="288" t="e">
        <f t="shared" si="13"/>
        <v>#DIV/0!</v>
      </c>
      <c r="AC42" s="102"/>
      <c r="AD42" s="102"/>
      <c r="AE42" s="102"/>
      <c r="AF42" s="102"/>
      <c r="AG42" s="102"/>
      <c r="AH42" s="86">
        <v>988.20243000000005</v>
      </c>
      <c r="AI42" s="105">
        <f t="shared" si="5"/>
        <v>113.44978000000015</v>
      </c>
      <c r="AJ42" s="86">
        <v>2693.3656957928806</v>
      </c>
      <c r="AK42" s="102">
        <v>73.266125204014344</v>
      </c>
      <c r="AL42" s="85"/>
      <c r="AM42" s="85"/>
      <c r="AN42" s="85"/>
      <c r="AO42" s="85"/>
      <c r="AP42" s="85"/>
      <c r="AQ42" s="115">
        <v>5.4041983028137563E-2</v>
      </c>
    </row>
    <row r="43" spans="1:43">
      <c r="A43" s="99">
        <v>2000</v>
      </c>
      <c r="B43" s="100">
        <v>1556689</v>
      </c>
      <c r="C43" s="100">
        <v>2106943.3540000003</v>
      </c>
      <c r="D43" s="100">
        <v>2478222</v>
      </c>
      <c r="E43" s="100">
        <v>28574100.862382505</v>
      </c>
      <c r="F43" s="100"/>
      <c r="G43" s="101">
        <f t="shared" si="18"/>
        <v>5.4479019567309092E-2</v>
      </c>
      <c r="H43" s="101">
        <f t="shared" si="19"/>
        <v>7.3736120837095825E-2</v>
      </c>
      <c r="I43" s="101">
        <f t="shared" si="20"/>
        <v>8.6729658159167222E-2</v>
      </c>
      <c r="J43" s="101">
        <f t="shared" si="3"/>
        <v>-6.1658208473329076E-3</v>
      </c>
      <c r="K43" s="101">
        <f t="shared" si="4"/>
        <v>-7.9596053561067914E-3</v>
      </c>
      <c r="L43" s="101">
        <f t="shared" si="8"/>
        <v>6.3595256284333102E-3</v>
      </c>
      <c r="M43" s="102">
        <v>74.592961486373909</v>
      </c>
      <c r="N43" s="102">
        <v>-162.82800000000003</v>
      </c>
      <c r="O43" s="102"/>
      <c r="P43" s="102">
        <v>-537.15000000000009</v>
      </c>
      <c r="Q43" s="102"/>
      <c r="R43" s="102"/>
      <c r="S43" s="102"/>
      <c r="T43" s="102">
        <v>2328.9499999999998</v>
      </c>
      <c r="U43" s="102"/>
      <c r="V43" s="102">
        <v>2866.1</v>
      </c>
      <c r="W43" s="102"/>
      <c r="X43" s="102"/>
      <c r="Y43" s="102"/>
      <c r="Z43" s="102"/>
      <c r="AA43" s="102"/>
      <c r="AB43" s="288" t="e">
        <f t="shared" si="13"/>
        <v>#DIV/0!</v>
      </c>
      <c r="AC43" s="102"/>
      <c r="AD43" s="102"/>
      <c r="AE43" s="102"/>
      <c r="AF43" s="102"/>
      <c r="AG43" s="102"/>
      <c r="AH43" s="86">
        <v>771.87931299999991</v>
      </c>
      <c r="AI43" s="105">
        <f t="shared" si="5"/>
        <v>-216.32311700000014</v>
      </c>
      <c r="AJ43" s="86">
        <v>2853.559870550162</v>
      </c>
      <c r="AK43" s="102">
        <v>74.592961486373909</v>
      </c>
      <c r="AL43" s="85"/>
      <c r="AM43" s="85"/>
      <c r="AN43" s="85"/>
      <c r="AO43" s="85"/>
      <c r="AP43" s="85"/>
      <c r="AQ43" s="115">
        <v>8.6440677966101553E-2</v>
      </c>
    </row>
    <row r="44" spans="1:43">
      <c r="A44" s="99">
        <v>2001</v>
      </c>
      <c r="B44" s="100">
        <v>1662247</v>
      </c>
      <c r="C44" s="100">
        <v>2227567.355856</v>
      </c>
      <c r="D44" s="100">
        <v>2700359</v>
      </c>
      <c r="E44" s="100">
        <v>31462078.100319903</v>
      </c>
      <c r="F44" s="100"/>
      <c r="G44" s="101">
        <f t="shared" si="18"/>
        <v>5.2833350508499896E-2</v>
      </c>
      <c r="H44" s="101">
        <f t="shared" si="19"/>
        <v>7.0801659977868733E-2</v>
      </c>
      <c r="I44" s="101">
        <f t="shared" si="20"/>
        <v>8.5829009494847799E-2</v>
      </c>
      <c r="J44" s="101">
        <f t="shared" si="3"/>
        <v>-1.645669058809196E-3</v>
      </c>
      <c r="K44" s="101">
        <f t="shared" si="4"/>
        <v>-2.9344608592270921E-3</v>
      </c>
      <c r="L44" s="101">
        <f t="shared" si="8"/>
        <v>-9.0064866431942281E-4</v>
      </c>
      <c r="M44" s="102">
        <v>92.682600419436085</v>
      </c>
      <c r="N44" s="102">
        <v>-266.35999999999956</v>
      </c>
      <c r="O44" s="102"/>
      <c r="P44" s="102">
        <v>-613.89999999999964</v>
      </c>
      <c r="Q44" s="102"/>
      <c r="R44" s="102"/>
      <c r="S44" s="102"/>
      <c r="T44" s="102">
        <v>1889.7</v>
      </c>
      <c r="U44" s="102"/>
      <c r="V44" s="102">
        <v>2503.6</v>
      </c>
      <c r="W44" s="102"/>
      <c r="X44" s="102"/>
      <c r="Y44" s="102"/>
      <c r="Z44" s="102"/>
      <c r="AA44" s="102"/>
      <c r="AB44" s="288" t="e">
        <f t="shared" si="13"/>
        <v>#DIV/0!</v>
      </c>
      <c r="AC44" s="102"/>
      <c r="AD44" s="102"/>
      <c r="AE44" s="102"/>
      <c r="AF44" s="102"/>
      <c r="AG44" s="102"/>
      <c r="AH44" s="86">
        <v>723.13683700000001</v>
      </c>
      <c r="AI44" s="105">
        <f t="shared" si="5"/>
        <v>-48.742475999999897</v>
      </c>
      <c r="AJ44" s="86">
        <v>3788.0258899676378</v>
      </c>
      <c r="AK44" s="102">
        <v>92.682600419436085</v>
      </c>
      <c r="AL44" s="85"/>
      <c r="AM44" s="85"/>
      <c r="AN44" s="85"/>
      <c r="AO44" s="85"/>
      <c r="AP44" s="85"/>
      <c r="AQ44" s="115">
        <v>8.3853354134165503E-2</v>
      </c>
    </row>
    <row r="45" spans="1:43">
      <c r="A45" s="99">
        <v>2002</v>
      </c>
      <c r="B45" s="100">
        <v>1698674</v>
      </c>
      <c r="C45" s="100">
        <v>2193175.648856</v>
      </c>
      <c r="D45" s="100">
        <v>2728703</v>
      </c>
      <c r="E45" s="100">
        <v>36156212.343866736</v>
      </c>
      <c r="F45" s="100"/>
      <c r="G45" s="101">
        <f t="shared" si="18"/>
        <v>4.6981525162110904E-2</v>
      </c>
      <c r="H45" s="101">
        <f t="shared" si="19"/>
        <v>6.065833522598043E-2</v>
      </c>
      <c r="I45" s="101">
        <f t="shared" si="20"/>
        <v>7.5469824495122378E-2</v>
      </c>
      <c r="J45" s="101">
        <f t="shared" si="3"/>
        <v>-5.8518253463889919E-3</v>
      </c>
      <c r="K45" s="101">
        <f t="shared" si="4"/>
        <v>-1.0143324751888304E-2</v>
      </c>
      <c r="L45" s="101">
        <f t="shared" si="8"/>
        <v>-1.0359184999725421E-2</v>
      </c>
      <c r="M45" s="102">
        <v>125.01990743974494</v>
      </c>
      <c r="N45" s="102">
        <v>92.600228740581798</v>
      </c>
      <c r="O45" s="102"/>
      <c r="P45" s="102">
        <v>-279.89999999999941</v>
      </c>
      <c r="Q45" s="102"/>
      <c r="R45" s="102"/>
      <c r="S45" s="102"/>
      <c r="T45" s="102">
        <v>1857.9749999999999</v>
      </c>
      <c r="U45" s="102"/>
      <c r="V45" s="102">
        <v>2137.875</v>
      </c>
      <c r="W45" s="102"/>
      <c r="X45" s="102"/>
      <c r="Y45" s="102"/>
      <c r="Z45" s="102"/>
      <c r="AA45" s="102"/>
      <c r="AB45" s="288" t="e">
        <f t="shared" si="13"/>
        <v>#DIV/0!</v>
      </c>
      <c r="AC45" s="102"/>
      <c r="AD45" s="102"/>
      <c r="AE45" s="102"/>
      <c r="AF45" s="102"/>
      <c r="AG45" s="102"/>
      <c r="AH45" s="86">
        <v>641.31871999999998</v>
      </c>
      <c r="AI45" s="105">
        <f t="shared" si="5"/>
        <v>-81.818117000000029</v>
      </c>
      <c r="AJ45" s="86">
        <v>5747.5728155339812</v>
      </c>
      <c r="AK45" s="102">
        <v>125.01990743974494</v>
      </c>
      <c r="AL45" s="85"/>
      <c r="AM45" s="85"/>
      <c r="AN45" s="85"/>
      <c r="AO45" s="85"/>
      <c r="AP45" s="85"/>
      <c r="AQ45" s="115">
        <v>0.14645555955379663</v>
      </c>
    </row>
    <row r="46" spans="1:43">
      <c r="A46" s="99">
        <v>2003</v>
      </c>
      <c r="B46" s="100">
        <v>2206814</v>
      </c>
      <c r="C46" s="100">
        <v>3461744.32</v>
      </c>
      <c r="D46" s="100">
        <v>3788878</v>
      </c>
      <c r="E46" s="100">
        <v>42324219.772408746</v>
      </c>
      <c r="F46" s="100"/>
      <c r="G46" s="101">
        <f t="shared" si="18"/>
        <v>5.2140689464962732E-2</v>
      </c>
      <c r="H46" s="101">
        <f t="shared" si="19"/>
        <v>8.179109594021905E-2</v>
      </c>
      <c r="I46" s="101">
        <f t="shared" si="20"/>
        <v>8.9520327140678396E-2</v>
      </c>
      <c r="J46" s="101">
        <f t="shared" si="3"/>
        <v>5.1591643028518278E-3</v>
      </c>
      <c r="K46" s="101">
        <f t="shared" si="4"/>
        <v>2.113276071423862E-2</v>
      </c>
      <c r="L46" s="101">
        <f t="shared" si="8"/>
        <v>1.4050502645556018E-2</v>
      </c>
      <c r="M46" s="102">
        <v>97.924991309514525</v>
      </c>
      <c r="N46" s="102">
        <v>129.46925229607498</v>
      </c>
      <c r="O46" s="102"/>
      <c r="P46" s="102">
        <v>-276.07499999999982</v>
      </c>
      <c r="Q46" s="102"/>
      <c r="R46" s="102"/>
      <c r="S46" s="102"/>
      <c r="T46" s="102"/>
      <c r="U46" s="102"/>
      <c r="V46" s="102"/>
      <c r="W46" s="102"/>
      <c r="X46" s="102"/>
      <c r="Y46" s="102"/>
      <c r="Z46" s="102"/>
      <c r="AA46" s="102"/>
      <c r="AB46" s="288" t="e">
        <f t="shared" si="13"/>
        <v>#DIV/0!</v>
      </c>
      <c r="AC46" s="102"/>
      <c r="AD46" s="102"/>
      <c r="AE46" s="102"/>
      <c r="AF46" s="102"/>
      <c r="AG46" s="102"/>
      <c r="AH46" s="86">
        <v>983.37247200000002</v>
      </c>
      <c r="AI46" s="105">
        <f t="shared" si="5"/>
        <v>342.05375200000003</v>
      </c>
      <c r="AJ46" s="86">
        <v>4840.6148867313914</v>
      </c>
      <c r="AK46" s="102">
        <v>97.924991309514525</v>
      </c>
      <c r="AL46" s="85"/>
      <c r="AM46" s="85"/>
      <c r="AN46" s="85"/>
      <c r="AO46" s="85"/>
      <c r="AP46" s="85"/>
      <c r="AQ46" s="115">
        <v>9.3220338983050821E-2</v>
      </c>
    </row>
    <row r="47" spans="1:43">
      <c r="A47" s="99">
        <v>2004</v>
      </c>
      <c r="B47" s="100">
        <v>2487567</v>
      </c>
      <c r="C47" s="100">
        <v>4060380.1901509999</v>
      </c>
      <c r="D47" s="100">
        <v>4705777</v>
      </c>
      <c r="E47" s="100">
        <v>47999043.589724079</v>
      </c>
      <c r="F47" s="100"/>
      <c r="G47" s="101">
        <f t="shared" si="18"/>
        <v>5.1825345131096594E-2</v>
      </c>
      <c r="H47" s="101">
        <f t="shared" si="19"/>
        <v>8.4592939493908378E-2</v>
      </c>
      <c r="I47" s="101">
        <f t="shared" si="20"/>
        <v>9.8038974280884233E-2</v>
      </c>
      <c r="J47" s="101">
        <f t="shared" si="3"/>
        <v>-3.1534433386613825E-4</v>
      </c>
      <c r="K47" s="101">
        <f t="shared" si="4"/>
        <v>2.8018435536893288E-3</v>
      </c>
      <c r="L47" s="101">
        <f t="shared" si="8"/>
        <v>8.5186471402058372E-3</v>
      </c>
      <c r="M47" s="102">
        <v>100</v>
      </c>
      <c r="N47" s="102">
        <v>143.00410455079111</v>
      </c>
      <c r="O47" s="102"/>
      <c r="P47" s="102">
        <v>-244.07499999999936</v>
      </c>
      <c r="Q47" s="102"/>
      <c r="R47" s="102"/>
      <c r="S47" s="102"/>
      <c r="T47" s="102"/>
      <c r="U47" s="102"/>
      <c r="V47" s="102"/>
      <c r="W47" s="102"/>
      <c r="X47" s="102"/>
      <c r="Y47" s="102"/>
      <c r="Z47" s="102"/>
      <c r="AA47" s="102"/>
      <c r="AB47" s="288" t="e">
        <f t="shared" si="13"/>
        <v>#DIV/0!</v>
      </c>
      <c r="AC47" s="102"/>
      <c r="AD47" s="102"/>
      <c r="AE47" s="102"/>
      <c r="AF47" s="102"/>
      <c r="AG47" s="102"/>
      <c r="AH47" s="86">
        <v>1168.0470749999999</v>
      </c>
      <c r="AI47" s="105">
        <f t="shared" si="5"/>
        <v>184.67460299999993</v>
      </c>
      <c r="AJ47" s="86">
        <v>5012.9449838187702</v>
      </c>
      <c r="AK47" s="102">
        <v>100</v>
      </c>
      <c r="AL47" s="85"/>
      <c r="AM47" s="85"/>
      <c r="AN47" s="85"/>
      <c r="AO47" s="85"/>
      <c r="AP47" s="85"/>
      <c r="AQ47" s="115">
        <v>2.8136663795578443E-2</v>
      </c>
    </row>
    <row r="48" spans="1:43">
      <c r="A48" s="99">
        <v>2005</v>
      </c>
      <c r="B48" s="100">
        <v>2924898</v>
      </c>
      <c r="C48" s="100">
        <v>4240519.0591190001</v>
      </c>
      <c r="D48" s="100">
        <v>5674712</v>
      </c>
      <c r="E48" s="100">
        <v>53962326.67652221</v>
      </c>
      <c r="F48" s="100"/>
      <c r="G48" s="101">
        <f t="shared" si="18"/>
        <v>5.4202592440710254E-2</v>
      </c>
      <c r="H48" s="101">
        <f t="shared" si="19"/>
        <v>7.8582954447810244E-2</v>
      </c>
      <c r="I48" s="101">
        <f t="shared" si="20"/>
        <v>0.10516062500449853</v>
      </c>
      <c r="J48" s="101">
        <f t="shared" si="3"/>
        <v>2.3772473096136601E-3</v>
      </c>
      <c r="K48" s="101">
        <f t="shared" si="4"/>
        <v>-6.0099850460981347E-3</v>
      </c>
      <c r="L48" s="101">
        <f t="shared" si="8"/>
        <v>7.1216507236143006E-3</v>
      </c>
      <c r="M48" s="102">
        <v>96.005784042525192</v>
      </c>
      <c r="N48" s="102">
        <v>16.010909192516721</v>
      </c>
      <c r="O48" s="102"/>
      <c r="P48" s="102">
        <v>-462.49211186100001</v>
      </c>
      <c r="Q48" s="102"/>
      <c r="R48" s="102"/>
      <c r="S48" s="102"/>
      <c r="T48" s="102"/>
      <c r="U48" s="102"/>
      <c r="V48" s="102"/>
      <c r="W48" s="102"/>
      <c r="X48" s="102"/>
      <c r="Y48" s="102"/>
      <c r="Z48" s="102"/>
      <c r="AA48" s="102"/>
      <c r="AB48" s="288" t="e">
        <f t="shared" si="13"/>
        <v>#DIV/0!</v>
      </c>
      <c r="AC48" s="102"/>
      <c r="AD48" s="102"/>
      <c r="AE48" s="102"/>
      <c r="AF48" s="102"/>
      <c r="AG48" s="102"/>
      <c r="AH48" s="86">
        <v>1292.9581759999999</v>
      </c>
      <c r="AI48" s="105">
        <f t="shared" si="5"/>
        <v>124.91110099999992</v>
      </c>
      <c r="AJ48" s="86">
        <v>4952.2653721682855</v>
      </c>
      <c r="AK48" s="102">
        <v>96.005784042525192</v>
      </c>
      <c r="AL48" s="85"/>
      <c r="AM48" s="85"/>
      <c r="AN48" s="85"/>
      <c r="AO48" s="85"/>
      <c r="AP48" s="85"/>
      <c r="AQ48" s="115">
        <v>9.8575816810946515E-2</v>
      </c>
    </row>
    <row r="49" spans="1:43">
      <c r="A49" s="99">
        <v>2006</v>
      </c>
      <c r="B49" s="100">
        <v>3371323</v>
      </c>
      <c r="C49" s="100">
        <v>4789622.2997869998</v>
      </c>
      <c r="D49" s="100">
        <v>6628532</v>
      </c>
      <c r="E49" s="100">
        <v>59996506.118773416</v>
      </c>
      <c r="F49" s="100"/>
      <c r="G49" s="101">
        <f t="shared" si="18"/>
        <v>5.6191988802246011E-2</v>
      </c>
      <c r="H49" s="101">
        <f t="shared" si="19"/>
        <v>7.9831687036993754E-2</v>
      </c>
      <c r="I49" s="101">
        <f t="shared" si="20"/>
        <v>0.11048196684783076</v>
      </c>
      <c r="J49" s="101">
        <f t="shared" si="3"/>
        <v>1.9893963615357571E-3</v>
      </c>
      <c r="K49" s="101">
        <f t="shared" si="4"/>
        <v>1.2487325891835099E-3</v>
      </c>
      <c r="L49" s="101">
        <f t="shared" si="8"/>
        <v>5.3213418433322307E-3</v>
      </c>
      <c r="M49" s="102">
        <v>76.429893888059013</v>
      </c>
      <c r="N49" s="102">
        <v>127.67611677686176</v>
      </c>
      <c r="O49" s="102"/>
      <c r="P49" s="102">
        <v>-620.97500000000036</v>
      </c>
      <c r="Q49" s="102"/>
      <c r="R49" s="102"/>
      <c r="S49" s="102"/>
      <c r="T49" s="102"/>
      <c r="U49" s="102"/>
      <c r="V49" s="102"/>
      <c r="W49" s="102"/>
      <c r="X49" s="102"/>
      <c r="Y49" s="102"/>
      <c r="Z49" s="102"/>
      <c r="AA49" s="102"/>
      <c r="AB49" s="288" t="e">
        <f t="shared" si="13"/>
        <v>#DIV/0!</v>
      </c>
      <c r="AC49" s="102"/>
      <c r="AD49" s="102"/>
      <c r="AE49" s="102"/>
      <c r="AF49" s="102"/>
      <c r="AG49" s="102"/>
      <c r="AH49" s="86">
        <v>1703.1192643459999</v>
      </c>
      <c r="AI49" s="105">
        <f t="shared" si="5"/>
        <v>410.16108834600004</v>
      </c>
      <c r="AJ49" s="86">
        <v>4306.6343042071194</v>
      </c>
      <c r="AK49" s="102">
        <v>76.429893888059013</v>
      </c>
      <c r="AL49" s="85"/>
      <c r="AM49" s="85"/>
      <c r="AN49" s="85"/>
      <c r="AO49" s="85"/>
      <c r="AP49" s="85"/>
      <c r="AQ49" s="115">
        <v>0.12480935434672102</v>
      </c>
    </row>
    <row r="50" spans="1:43">
      <c r="A50" s="99">
        <v>2007</v>
      </c>
      <c r="B50" s="100">
        <v>4326096</v>
      </c>
      <c r="C50" s="100">
        <v>6476434.7144370005</v>
      </c>
      <c r="D50" s="100">
        <v>9179824</v>
      </c>
      <c r="E50" s="100">
        <v>69426262.232025474</v>
      </c>
      <c r="F50" s="100"/>
      <c r="G50" s="101">
        <f t="shared" si="18"/>
        <v>6.2312097193739251E-2</v>
      </c>
      <c r="H50" s="101">
        <f t="shared" si="19"/>
        <v>9.3285084148596167E-2</v>
      </c>
      <c r="I50" s="101">
        <f t="shared" si="20"/>
        <v>0.13222408502017066</v>
      </c>
      <c r="J50" s="101">
        <f t="shared" si="3"/>
        <v>6.1201083914932397E-3</v>
      </c>
      <c r="K50" s="101">
        <f t="shared" si="4"/>
        <v>1.3453397111602414E-2</v>
      </c>
      <c r="L50" s="101">
        <f t="shared" si="8"/>
        <v>2.1742118172339897E-2</v>
      </c>
      <c r="M50" s="102">
        <v>68.896014625804042</v>
      </c>
      <c r="N50" s="102">
        <v>184.24075319596906</v>
      </c>
      <c r="O50" s="102"/>
      <c r="P50" s="102">
        <v>-532.9350000000004</v>
      </c>
      <c r="Q50" s="102"/>
      <c r="R50" s="102"/>
      <c r="S50" s="102"/>
      <c r="T50" s="102"/>
      <c r="U50" s="102"/>
      <c r="V50" s="102"/>
      <c r="W50" s="102"/>
      <c r="X50" s="102"/>
      <c r="Y50" s="102"/>
      <c r="Z50" s="102"/>
      <c r="AA50" s="102"/>
      <c r="AB50" s="288" t="e">
        <f t="shared" si="13"/>
        <v>#DIV/0!</v>
      </c>
      <c r="AC50" s="102"/>
      <c r="AD50" s="102"/>
      <c r="AE50" s="102"/>
      <c r="AF50" s="102"/>
      <c r="AG50" s="102"/>
      <c r="AH50" s="86">
        <v>2461.7888698809602</v>
      </c>
      <c r="AI50" s="105">
        <f t="shared" si="5"/>
        <v>758.66960553496028</v>
      </c>
      <c r="AJ50" s="86">
        <v>3828.4789644012944</v>
      </c>
      <c r="AK50" s="102">
        <v>68.896014625804042</v>
      </c>
      <c r="AL50" s="85"/>
      <c r="AM50" s="85"/>
      <c r="AN50" s="85"/>
      <c r="AO50" s="85"/>
      <c r="AP50" s="85"/>
      <c r="AQ50" s="115">
        <v>5.966101694915249E-2</v>
      </c>
    </row>
    <row r="51" spans="1:43">
      <c r="A51" s="99">
        <v>2008</v>
      </c>
      <c r="B51" s="100">
        <v>4973923.3604340004</v>
      </c>
      <c r="C51" s="100">
        <v>7616942.5720320009</v>
      </c>
      <c r="D51" s="100">
        <v>9869843.0221692603</v>
      </c>
      <c r="E51" s="100">
        <v>80734753.24228245</v>
      </c>
      <c r="F51" s="100"/>
      <c r="G51" s="101">
        <f t="shared" si="18"/>
        <v>6.1608206635715021E-2</v>
      </c>
      <c r="H51" s="101">
        <f t="shared" si="19"/>
        <v>9.4345275933076747E-2</v>
      </c>
      <c r="I51" s="101">
        <f t="shared" si="20"/>
        <v>0.12225024076744463</v>
      </c>
      <c r="J51" s="101">
        <f t="shared" si="3"/>
        <v>-7.0389055802422967E-4</v>
      </c>
      <c r="K51" s="101">
        <f t="shared" si="4"/>
        <v>1.0601917844805797E-3</v>
      </c>
      <c r="L51" s="101">
        <f t="shared" si="8"/>
        <v>-9.9738442527260301E-3</v>
      </c>
      <c r="M51" s="102">
        <v>67.640351664297526</v>
      </c>
      <c r="N51" s="102">
        <v>-318.76128999605953</v>
      </c>
      <c r="O51" s="102"/>
      <c r="P51" s="102">
        <v>-1063.8749999999982</v>
      </c>
      <c r="Q51" s="102"/>
      <c r="R51" s="102"/>
      <c r="S51" s="102"/>
      <c r="T51" s="102"/>
      <c r="U51" s="102"/>
      <c r="V51" s="102"/>
      <c r="W51" s="102"/>
      <c r="X51" s="102"/>
      <c r="Y51" s="102"/>
      <c r="Z51" s="102"/>
      <c r="AA51" s="102"/>
      <c r="AB51" s="288" t="e">
        <f t="shared" si="13"/>
        <v>#DIV/0!</v>
      </c>
      <c r="AC51" s="102"/>
      <c r="AD51" s="102"/>
      <c r="AE51" s="102"/>
      <c r="AF51" s="102"/>
      <c r="AG51" s="102"/>
      <c r="AH51" s="86">
        <v>2864.1061557570993</v>
      </c>
      <c r="AI51" s="105">
        <f t="shared" si="5"/>
        <v>402.31728587613907</v>
      </c>
      <c r="AJ51" s="86">
        <v>3957.9288025889973</v>
      </c>
      <c r="AK51" s="102">
        <v>67.640351664297526</v>
      </c>
      <c r="AL51" s="85"/>
      <c r="AM51" s="85"/>
      <c r="AN51" s="85"/>
      <c r="AO51" s="85"/>
      <c r="AP51" s="85"/>
      <c r="AQ51" s="115">
        <v>7.4999999999999956E-2</v>
      </c>
    </row>
    <row r="52" spans="1:43">
      <c r="A52" s="99">
        <v>2009</v>
      </c>
      <c r="B52" s="100">
        <v>5537799</v>
      </c>
      <c r="C52" s="100">
        <v>10160304.167924</v>
      </c>
      <c r="D52" s="100">
        <v>12787593</v>
      </c>
      <c r="E52" s="100">
        <v>79117170.176796183</v>
      </c>
      <c r="F52" s="100"/>
      <c r="G52" s="101">
        <f t="shared" si="18"/>
        <v>6.999490739652553E-2</v>
      </c>
      <c r="H52" s="101">
        <f t="shared" si="19"/>
        <v>0.12842097543705952</v>
      </c>
      <c r="I52" s="101">
        <f t="shared" si="20"/>
        <v>0.16162854373361296</v>
      </c>
      <c r="J52" s="101">
        <f t="shared" si="3"/>
        <v>8.3867007608105087E-3</v>
      </c>
      <c r="K52" s="101">
        <f t="shared" si="4"/>
        <v>3.4075699503982773E-2</v>
      </c>
      <c r="L52" s="101">
        <f t="shared" si="8"/>
        <v>3.937830296616833E-2</v>
      </c>
      <c r="M52" s="102">
        <v>59.901490412142437</v>
      </c>
      <c r="N52" s="102">
        <v>67.727046142562131</v>
      </c>
      <c r="O52" s="102"/>
      <c r="P52" s="102">
        <v>-1043.0702366155992</v>
      </c>
      <c r="Q52" s="102"/>
      <c r="R52" s="102"/>
      <c r="S52" s="102"/>
      <c r="T52" s="102"/>
      <c r="U52" s="102"/>
      <c r="V52" s="102"/>
      <c r="W52" s="102"/>
      <c r="X52" s="102"/>
      <c r="Y52" s="102"/>
      <c r="Z52" s="102"/>
      <c r="AA52" s="102"/>
      <c r="AB52" s="288" t="e">
        <f t="shared" si="13"/>
        <v>#DIV/0!</v>
      </c>
      <c r="AC52" s="102"/>
      <c r="AD52" s="102"/>
      <c r="AE52" s="102"/>
      <c r="AF52" s="102"/>
      <c r="AG52" s="102"/>
      <c r="AH52" s="86">
        <v>3860.6602632712102</v>
      </c>
      <c r="AI52" s="105">
        <f t="shared" si="5"/>
        <v>996.55410751411091</v>
      </c>
      <c r="AJ52" s="86">
        <v>3765.3721682847895</v>
      </c>
      <c r="AK52" s="102">
        <v>59.901490412142437</v>
      </c>
      <c r="AL52" s="85"/>
      <c r="AM52" s="85"/>
      <c r="AN52" s="85"/>
      <c r="AO52" s="85"/>
      <c r="AP52" s="85"/>
      <c r="AQ52" s="115">
        <v>1.8604651162790642E-2</v>
      </c>
    </row>
    <row r="53" spans="1:43">
      <c r="A53" s="99">
        <v>2010</v>
      </c>
      <c r="B53" s="100">
        <v>6563534</v>
      </c>
      <c r="C53" s="100">
        <v>10273551.947507001</v>
      </c>
      <c r="D53" s="100">
        <v>14495540</v>
      </c>
      <c r="E53" s="100">
        <v>94934255.213694632</v>
      </c>
      <c r="F53" s="100"/>
      <c r="G53" s="101">
        <f t="shared" si="18"/>
        <v>6.913767833566134E-2</v>
      </c>
      <c r="H53" s="101">
        <f t="shared" si="19"/>
        <v>0.10821754407175253</v>
      </c>
      <c r="I53" s="101">
        <f t="shared" si="20"/>
        <v>0.15269030096007918</v>
      </c>
      <c r="J53" s="101">
        <f t="shared" si="3"/>
        <v>-8.5722906086418971E-4</v>
      </c>
      <c r="K53" s="101">
        <f t="shared" si="4"/>
        <v>-2.0203431365306987E-2</v>
      </c>
      <c r="L53" s="101">
        <f t="shared" si="8"/>
        <v>-8.9382427735337777E-3</v>
      </c>
      <c r="M53" s="102">
        <v>59.079774113513714</v>
      </c>
      <c r="N53" s="102">
        <v>-653.5673161026192</v>
      </c>
      <c r="O53" s="102"/>
      <c r="P53" s="102">
        <v>-1396.5443876429981</v>
      </c>
      <c r="Q53" s="102"/>
      <c r="R53" s="102"/>
      <c r="S53" s="102"/>
      <c r="T53" s="102"/>
      <c r="U53" s="102"/>
      <c r="V53" s="102"/>
      <c r="W53" s="102"/>
      <c r="X53" s="102"/>
      <c r="Y53" s="102"/>
      <c r="Z53" s="102"/>
      <c r="AA53" s="102"/>
      <c r="AB53" s="288" t="e">
        <f t="shared" si="13"/>
        <v>#DIV/0!</v>
      </c>
      <c r="AC53" s="102"/>
      <c r="AD53" s="102"/>
      <c r="AE53" s="102"/>
      <c r="AF53" s="102"/>
      <c r="AG53" s="102"/>
      <c r="AH53" s="86">
        <v>4168.2296803111603</v>
      </c>
      <c r="AI53" s="105">
        <f t="shared" si="5"/>
        <v>307.56941703995017</v>
      </c>
      <c r="AJ53" s="86">
        <v>3700.6472491909385</v>
      </c>
      <c r="AK53" s="102">
        <v>59.079774113513714</v>
      </c>
      <c r="AL53" s="85"/>
      <c r="AM53" s="85"/>
      <c r="AN53" s="85"/>
      <c r="AO53" s="85"/>
      <c r="AP53" s="85"/>
      <c r="AQ53" s="115">
        <v>7.214611872146115E-2</v>
      </c>
    </row>
    <row r="54" spans="1:43">
      <c r="A54" s="99">
        <v>2011</v>
      </c>
      <c r="B54" s="100">
        <v>7324268</v>
      </c>
      <c r="C54" s="100">
        <v>11598787.269677</v>
      </c>
      <c r="D54" s="100">
        <v>16170404</v>
      </c>
      <c r="E54" s="100">
        <v>105203213.929758</v>
      </c>
      <c r="F54" s="100"/>
      <c r="G54" s="101">
        <f t="shared" si="18"/>
        <v>6.9620192448590607E-2</v>
      </c>
      <c r="H54" s="101">
        <f t="shared" si="19"/>
        <v>0.11025126359182591</v>
      </c>
      <c r="I54" s="101">
        <f t="shared" si="20"/>
        <v>0.15370636880729369</v>
      </c>
      <c r="J54" s="101">
        <f t="shared" si="3"/>
        <v>4.8251411292926649E-4</v>
      </c>
      <c r="K54" s="101">
        <f t="shared" si="4"/>
        <v>2.0337195200733765E-3</v>
      </c>
      <c r="L54" s="101">
        <f t="shared" si="8"/>
        <v>1.0160678472145024E-3</v>
      </c>
      <c r="M54" s="102">
        <v>56.815676921517223</v>
      </c>
      <c r="N54" s="102">
        <v>-270.17410605085558</v>
      </c>
      <c r="O54" s="102"/>
      <c r="P54" s="102">
        <v>-1677.7361950999984</v>
      </c>
      <c r="Q54" s="102"/>
      <c r="R54" s="102"/>
      <c r="S54" s="102"/>
      <c r="T54" s="102"/>
      <c r="U54" s="102"/>
      <c r="V54" s="102"/>
      <c r="W54" s="102"/>
      <c r="X54" s="102"/>
      <c r="Y54" s="102"/>
      <c r="Z54" s="102"/>
      <c r="AA54" s="102"/>
      <c r="AB54" s="288" t="e">
        <f t="shared" si="13"/>
        <v>#DIV/0!</v>
      </c>
      <c r="AC54" s="102"/>
      <c r="AD54" s="102"/>
      <c r="AE54" s="102"/>
      <c r="AF54" s="102"/>
      <c r="AG54" s="102"/>
      <c r="AH54" s="86">
        <v>4983.9365205540698</v>
      </c>
      <c r="AI54" s="105">
        <f t="shared" si="5"/>
        <v>815.70684024290949</v>
      </c>
      <c r="AJ54" s="86">
        <v>3592.2330097087383</v>
      </c>
      <c r="AK54" s="102">
        <v>56.815676921517223</v>
      </c>
      <c r="AL54" s="85"/>
      <c r="AM54" s="85"/>
      <c r="AN54" s="85"/>
      <c r="AO54" s="85"/>
      <c r="AP54" s="85"/>
      <c r="AQ54" s="115">
        <v>4.9403747870528036E-2</v>
      </c>
    </row>
    <row r="55" spans="1:43">
      <c r="A55" s="99">
        <v>2012</v>
      </c>
      <c r="B55" s="100">
        <v>8606190</v>
      </c>
      <c r="C55" s="100">
        <v>13591719.116319001</v>
      </c>
      <c r="D55" s="100">
        <v>17736133</v>
      </c>
      <c r="E55" s="100">
        <v>108832260.32910401</v>
      </c>
      <c r="F55" s="100"/>
      <c r="G55" s="101">
        <f t="shared" si="18"/>
        <v>7.9077563711120735E-2</v>
      </c>
      <c r="H55" s="101">
        <f t="shared" si="19"/>
        <v>0.12488685868710468</v>
      </c>
      <c r="I55" s="101">
        <f t="shared" si="20"/>
        <v>0.16296760672218613</v>
      </c>
      <c r="J55" s="101">
        <f t="shared" si="3"/>
        <v>9.4573712625301287E-3</v>
      </c>
      <c r="K55" s="101">
        <f t="shared" si="4"/>
        <v>1.4635595095278772E-2</v>
      </c>
      <c r="L55" s="101">
        <f t="shared" si="8"/>
        <v>9.2612379148924451E-3</v>
      </c>
      <c r="M55" s="102">
        <v>52.694464921805363</v>
      </c>
      <c r="N55" s="102"/>
      <c r="O55" s="102"/>
      <c r="P55" s="102"/>
      <c r="Q55" s="102"/>
      <c r="R55" s="102"/>
      <c r="S55" s="102"/>
      <c r="T55" s="102"/>
      <c r="U55" s="102"/>
      <c r="V55" s="102"/>
      <c r="W55" s="102"/>
      <c r="X55" s="102"/>
      <c r="Y55" s="102"/>
      <c r="Z55" s="102"/>
      <c r="AA55" s="102"/>
      <c r="AB55" s="288" t="e">
        <f t="shared" si="13"/>
        <v>#DIV/0!</v>
      </c>
      <c r="AC55" s="102"/>
      <c r="AD55" s="102"/>
      <c r="AE55" s="102"/>
      <c r="AF55" s="102"/>
      <c r="AG55" s="102"/>
      <c r="AH55" s="86">
        <v>4994.2501473768407</v>
      </c>
      <c r="AI55" s="105">
        <f t="shared" si="5"/>
        <v>10.313626822770857</v>
      </c>
      <c r="AJ55" s="86">
        <v>3470.0647249190943</v>
      </c>
      <c r="AK55" s="102">
        <v>52.694464921805363</v>
      </c>
      <c r="AL55" s="85"/>
      <c r="AM55" s="85"/>
      <c r="AN55" s="85"/>
      <c r="AO55" s="85"/>
      <c r="AP55" s="85"/>
      <c r="AQ55" s="115">
        <v>3.9772727272727293E-2</v>
      </c>
    </row>
    <row r="56" spans="1:43">
      <c r="A56" s="99">
        <v>2013</v>
      </c>
      <c r="B56" s="100">
        <v>9743950</v>
      </c>
      <c r="C56" s="100">
        <v>13164096.192934999</v>
      </c>
      <c r="D56" s="100">
        <v>20359527</v>
      </c>
      <c r="E56" s="100">
        <v>125152244.90377593</v>
      </c>
      <c r="F56" s="100"/>
      <c r="G56" s="101">
        <f t="shared" si="18"/>
        <v>7.7856773623930564E-2</v>
      </c>
      <c r="H56" s="101">
        <f t="shared" si="19"/>
        <v>0.10518465891727548</v>
      </c>
      <c r="I56" s="101">
        <f t="shared" si="20"/>
        <v>0.16267808073002243</v>
      </c>
      <c r="J56" s="101">
        <f t="shared" si="3"/>
        <v>-1.2207900871901711E-3</v>
      </c>
      <c r="K56" s="101">
        <f t="shared" si="4"/>
        <v>-1.9702199769829204E-2</v>
      </c>
      <c r="L56" s="101">
        <f t="shared" si="8"/>
        <v>-2.8952599216369723E-4</v>
      </c>
      <c r="M56" s="102">
        <v>56.396107398164716</v>
      </c>
      <c r="N56" s="102"/>
      <c r="O56" s="102"/>
      <c r="P56" s="102"/>
      <c r="Q56" s="102"/>
      <c r="R56" s="102"/>
      <c r="S56" s="102"/>
      <c r="T56" s="102"/>
      <c r="U56" s="102"/>
      <c r="V56" s="102"/>
      <c r="W56" s="102"/>
      <c r="X56" s="102"/>
      <c r="Y56" s="102"/>
      <c r="Z56" s="102"/>
      <c r="AA56" s="102"/>
      <c r="AB56" s="288" t="e">
        <f t="shared" si="13"/>
        <v>#DIV/0!</v>
      </c>
      <c r="AC56" s="102"/>
      <c r="AD56" s="102"/>
      <c r="AE56" s="102"/>
      <c r="AF56" s="102"/>
      <c r="AG56" s="102"/>
      <c r="AH56" s="86">
        <v>5871.225365199999</v>
      </c>
      <c r="AI56" s="105">
        <f t="shared" si="5"/>
        <v>876.97521782315835</v>
      </c>
      <c r="AJ56" s="86">
        <v>3660.1941747572814</v>
      </c>
      <c r="AK56" s="102">
        <v>56.396107398164716</v>
      </c>
      <c r="AL56" s="85"/>
      <c r="AM56" s="85"/>
      <c r="AN56" s="85"/>
      <c r="AO56" s="85"/>
      <c r="AP56" s="85"/>
      <c r="AQ56" s="115">
        <v>3.7470725995316201E-2</v>
      </c>
    </row>
    <row r="57" spans="1:43">
      <c r="A57" s="99">
        <v>2014</v>
      </c>
      <c r="B57" s="100">
        <v>10615180</v>
      </c>
      <c r="C57" s="100">
        <v>14589640</v>
      </c>
      <c r="D57" s="100">
        <v>22233807</v>
      </c>
      <c r="E57" s="100">
        <v>137797686.414745</v>
      </c>
      <c r="F57" s="100"/>
      <c r="G57" s="101">
        <f t="shared" si="18"/>
        <v>7.7034529941600857E-2</v>
      </c>
      <c r="H57" s="101">
        <f t="shared" si="19"/>
        <v>0.105877249318163</v>
      </c>
      <c r="I57" s="101">
        <f t="shared" si="20"/>
        <v>0.16135109070757866</v>
      </c>
      <c r="J57" s="101">
        <f t="shared" si="3"/>
        <v>-8.222436823297069E-4</v>
      </c>
      <c r="K57" s="101">
        <f t="shared" si="4"/>
        <v>6.9259040088752444E-4</v>
      </c>
      <c r="L57" s="101">
        <f t="shared" si="8"/>
        <v>-1.3269900224437692E-3</v>
      </c>
      <c r="AB57" s="288" t="e">
        <f t="shared" si="13"/>
        <v>#DIV/0!</v>
      </c>
      <c r="AH57" s="86">
        <v>6890.9978952936199</v>
      </c>
      <c r="AI57" s="105">
        <f t="shared" si="5"/>
        <v>1019.7725300936208</v>
      </c>
      <c r="AJ57" s="86">
        <v>3745.9546925566342</v>
      </c>
      <c r="AK57" s="85"/>
      <c r="AL57" s="85"/>
      <c r="AM57" s="85"/>
      <c r="AN57" s="85"/>
      <c r="AO57" s="85"/>
      <c r="AP57" s="85"/>
      <c r="AQ57" s="116"/>
    </row>
    <row r="58" spans="1:43">
      <c r="A58" s="95"/>
      <c r="B58" s="95" t="s">
        <v>31</v>
      </c>
      <c r="C58" s="95" t="s">
        <v>31</v>
      </c>
      <c r="D58" s="95" t="s">
        <v>31</v>
      </c>
      <c r="E58" s="95" t="s">
        <v>193</v>
      </c>
      <c r="F58" s="95" t="s">
        <v>49</v>
      </c>
      <c r="J58" s="106"/>
      <c r="K58" s="101">
        <f t="shared" si="4"/>
        <v>-0.105877249318163</v>
      </c>
      <c r="L58" s="101">
        <f t="shared" si="8"/>
        <v>-0.16135109070757866</v>
      </c>
      <c r="N58" s="80" t="s">
        <v>49</v>
      </c>
      <c r="P58" s="80" t="s">
        <v>49</v>
      </c>
      <c r="T58" s="80" t="s">
        <v>49</v>
      </c>
      <c r="V58" s="80" t="s">
        <v>49</v>
      </c>
      <c r="X58" s="80" t="s">
        <v>49</v>
      </c>
      <c r="Y58" s="80" t="s">
        <v>49</v>
      </c>
      <c r="Z58" s="80" t="s">
        <v>49</v>
      </c>
      <c r="AA58" s="80" t="s">
        <v>49</v>
      </c>
      <c r="AB58" s="288" t="e">
        <f t="shared" si="13"/>
        <v>#VALUE!</v>
      </c>
      <c r="AC58" s="80" t="s">
        <v>49</v>
      </c>
      <c r="AF58" s="80" t="s">
        <v>49</v>
      </c>
      <c r="AH58" s="80" t="s">
        <v>49</v>
      </c>
      <c r="AI58" s="80" t="s">
        <v>49</v>
      </c>
    </row>
    <row r="61" spans="1:43">
      <c r="E61" s="80"/>
      <c r="F61" s="80"/>
    </row>
    <row r="62" spans="1:43">
      <c r="E62" s="80"/>
      <c r="F62" s="80"/>
    </row>
    <row r="63" spans="1:43">
      <c r="E63" s="80"/>
      <c r="F63" s="80"/>
    </row>
    <row r="64" spans="1:43">
      <c r="E64" s="80"/>
      <c r="F64" s="80"/>
    </row>
    <row r="65" spans="28:28" s="80" customFormat="1">
      <c r="AB65" s="238"/>
    </row>
    <row r="66" spans="28:28" s="80" customFormat="1">
      <c r="AB66" s="238"/>
    </row>
    <row r="67" spans="28:28" s="80" customFormat="1">
      <c r="AB67" s="238"/>
    </row>
    <row r="68" spans="28:28" s="80" customFormat="1">
      <c r="AB68" s="238"/>
    </row>
    <row r="69" spans="28:28" s="80" customFormat="1">
      <c r="AB69" s="238"/>
    </row>
    <row r="70" spans="28:28" s="80" customFormat="1">
      <c r="AB70" s="238"/>
    </row>
    <row r="71" spans="28:28" s="80" customFormat="1">
      <c r="AB71" s="238"/>
    </row>
    <row r="72" spans="28:28" s="80" customFormat="1">
      <c r="AB72" s="238"/>
    </row>
    <row r="73" spans="28:28" s="80" customFormat="1">
      <c r="AB73" s="238"/>
    </row>
    <row r="74" spans="28:28" s="80" customFormat="1">
      <c r="AB74" s="238"/>
    </row>
    <row r="75" spans="28:28" s="80" customFormat="1">
      <c r="AB75" s="238"/>
    </row>
    <row r="76" spans="28:28" s="80" customFormat="1">
      <c r="AB76" s="238"/>
    </row>
    <row r="77" spans="28:28" s="80" customFormat="1">
      <c r="AB77" s="238"/>
    </row>
    <row r="78" spans="28:28" s="80" customFormat="1">
      <c r="AB78" s="238"/>
    </row>
    <row r="79" spans="28:28" s="80" customFormat="1">
      <c r="AB79" s="238"/>
    </row>
    <row r="80" spans="28:28" s="80" customFormat="1">
      <c r="AB80" s="238"/>
    </row>
    <row r="81" spans="28:28" s="80" customFormat="1">
      <c r="AB81" s="238"/>
    </row>
    <row r="82" spans="28:28" s="80" customFormat="1">
      <c r="AB82" s="238"/>
    </row>
    <row r="83" spans="28:28" s="80" customFormat="1">
      <c r="AB83" s="238"/>
    </row>
    <row r="84" spans="28:28" s="80" customFormat="1">
      <c r="AB84" s="238"/>
    </row>
    <row r="85" spans="28:28" s="80" customFormat="1">
      <c r="AB85" s="238"/>
    </row>
    <row r="86" spans="28:28" s="80" customFormat="1">
      <c r="AB86" s="238"/>
    </row>
    <row r="87" spans="28:28" s="80" customFormat="1">
      <c r="AB87" s="238"/>
    </row>
    <row r="88" spans="28:28" s="80" customFormat="1">
      <c r="AB88" s="238"/>
    </row>
    <row r="89" spans="28:28" s="80" customFormat="1">
      <c r="AB89" s="238"/>
    </row>
    <row r="90" spans="28:28" s="80" customFormat="1">
      <c r="AB90" s="238"/>
    </row>
    <row r="91" spans="28:28" s="80" customFormat="1">
      <c r="AB91" s="238"/>
    </row>
    <row r="92" spans="28:28" s="80" customFormat="1">
      <c r="AB92" s="238"/>
    </row>
    <row r="93" spans="28:28" s="80" customFormat="1">
      <c r="AB93" s="238"/>
    </row>
    <row r="94" spans="28:28" s="80" customFormat="1">
      <c r="AB94" s="238"/>
    </row>
    <row r="95" spans="28:28" s="80" customFormat="1">
      <c r="AB95" s="238"/>
    </row>
    <row r="96" spans="28:28" s="80" customFormat="1">
      <c r="AB96" s="238"/>
    </row>
    <row r="97" spans="28:28" s="80" customFormat="1">
      <c r="AB97" s="238"/>
    </row>
    <row r="98" spans="28:28" s="80" customFormat="1">
      <c r="AB98" s="238"/>
    </row>
    <row r="99" spans="28:28" s="80" customFormat="1">
      <c r="AB99" s="238"/>
    </row>
    <row r="100" spans="28:28" s="80" customFormat="1">
      <c r="AB100" s="238"/>
    </row>
    <row r="101" spans="28:28" s="80" customFormat="1">
      <c r="AB101" s="238"/>
    </row>
    <row r="102" spans="28:28" s="80" customFormat="1">
      <c r="AB102" s="238"/>
    </row>
    <row r="103" spans="28:28" s="80" customFormat="1">
      <c r="AB103" s="238"/>
    </row>
    <row r="104" spans="28:28" s="80" customFormat="1">
      <c r="AB104" s="238"/>
    </row>
    <row r="105" spans="28:28" s="80" customFormat="1">
      <c r="AB105" s="238"/>
    </row>
    <row r="106" spans="28:28" s="80" customFormat="1">
      <c r="AB106" s="238"/>
    </row>
    <row r="107" spans="28:28" s="80" customFormat="1">
      <c r="AB107" s="238"/>
    </row>
    <row r="108" spans="28:28" s="80" customFormat="1">
      <c r="AB108" s="238"/>
    </row>
    <row r="109" spans="28:28" s="80" customFormat="1">
      <c r="AB109" s="238"/>
    </row>
    <row r="110" spans="28:28" s="80" customFormat="1">
      <c r="AB110" s="238"/>
    </row>
    <row r="111" spans="28:28" s="80" customFormat="1">
      <c r="AB111" s="238"/>
    </row>
    <row r="112" spans="28:28" s="80" customFormat="1">
      <c r="AB112" s="238"/>
    </row>
    <row r="113" spans="5:6">
      <c r="E113" s="80"/>
      <c r="F113" s="80"/>
    </row>
    <row r="114" spans="5:6">
      <c r="E114" s="80"/>
      <c r="F114" s="80"/>
    </row>
    <row r="115" spans="5:6">
      <c r="E115" s="80"/>
      <c r="F115" s="80"/>
    </row>
    <row r="116" spans="5:6">
      <c r="E116" s="80"/>
      <c r="F116" s="80"/>
    </row>
    <row r="117" spans="5:6">
      <c r="E117" s="80"/>
      <c r="F117" s="80"/>
    </row>
    <row r="118" spans="5:6">
      <c r="E118" s="80"/>
      <c r="F118" s="80"/>
    </row>
    <row r="119" spans="5:6">
      <c r="E119" s="80"/>
      <c r="F119" s="80"/>
    </row>
    <row r="120" spans="5:6">
      <c r="E120" s="80"/>
      <c r="F120" s="80"/>
    </row>
    <row r="121" spans="5:6">
      <c r="E121" s="80"/>
      <c r="F121" s="80"/>
    </row>
    <row r="122" spans="5:6">
      <c r="E122" s="80"/>
      <c r="F122" s="80"/>
    </row>
    <row r="123" spans="5:6">
      <c r="E123" s="80"/>
      <c r="F123" s="80"/>
    </row>
    <row r="124" spans="5:6">
      <c r="E124" s="80"/>
      <c r="F124" s="80"/>
    </row>
    <row r="125" spans="5:6">
      <c r="E125" s="80"/>
      <c r="F125" s="80"/>
    </row>
    <row r="228" spans="5:6">
      <c r="E228" s="80"/>
      <c r="F228" s="80"/>
    </row>
    <row r="229" spans="5:6">
      <c r="E229" s="80"/>
      <c r="F229" s="80"/>
    </row>
    <row r="230" spans="5:6">
      <c r="E230" s="80"/>
      <c r="F230" s="80"/>
    </row>
    <row r="231" spans="5:6">
      <c r="E231" s="80"/>
      <c r="F231" s="80"/>
    </row>
    <row r="232" spans="5:6">
      <c r="E232" s="80"/>
      <c r="F232" s="80"/>
    </row>
    <row r="233" spans="5:6">
      <c r="E233" s="80"/>
      <c r="F233" s="80"/>
    </row>
    <row r="234" spans="5:6">
      <c r="E234" s="80"/>
      <c r="F234" s="80"/>
    </row>
    <row r="235" spans="5:6">
      <c r="E235" s="80"/>
      <c r="F235" s="80"/>
    </row>
    <row r="236" spans="5:6">
      <c r="E236" s="80"/>
      <c r="F236" s="80"/>
    </row>
    <row r="237" spans="5:6">
      <c r="E237" s="80"/>
      <c r="F237" s="80"/>
    </row>
    <row r="238" spans="5:6">
      <c r="E238" s="80"/>
      <c r="F238" s="80"/>
    </row>
    <row r="239" spans="5:6">
      <c r="E239" s="80"/>
      <c r="F239" s="80"/>
    </row>
    <row r="240" spans="5:6">
      <c r="E240" s="80"/>
      <c r="F240" s="80"/>
    </row>
    <row r="241" spans="28:28" s="80" customFormat="1">
      <c r="AB241" s="238"/>
    </row>
    <row r="242" spans="28:28" s="80" customFormat="1">
      <c r="AB242" s="238"/>
    </row>
    <row r="243" spans="28:28" s="80" customFormat="1">
      <c r="AB243" s="238"/>
    </row>
    <row r="244" spans="28:28" s="80" customFormat="1">
      <c r="AB244" s="238"/>
    </row>
    <row r="245" spans="28:28" s="80" customFormat="1">
      <c r="AB245" s="238"/>
    </row>
    <row r="246" spans="28:28" s="80" customFormat="1">
      <c r="AB246" s="238"/>
    </row>
    <row r="247" spans="28:28" s="80" customFormat="1">
      <c r="AB247" s="238"/>
    </row>
    <row r="248" spans="28:28" s="80" customFormat="1">
      <c r="AB248" s="238"/>
    </row>
    <row r="249" spans="28:28" s="80" customFormat="1">
      <c r="AB249" s="238"/>
    </row>
    <row r="250" spans="28:28" s="80" customFormat="1">
      <c r="AB250" s="238"/>
    </row>
    <row r="251" spans="28:28" s="80" customFormat="1">
      <c r="AB251" s="238"/>
    </row>
    <row r="252" spans="28:28" s="80" customFormat="1">
      <c r="AB252" s="238"/>
    </row>
    <row r="253" spans="28:28" s="80" customFormat="1">
      <c r="AB253" s="238"/>
    </row>
    <row r="254" spans="28:28" s="80" customFormat="1">
      <c r="AB254" s="238"/>
    </row>
    <row r="255" spans="28:28" s="80" customFormat="1">
      <c r="AB255" s="238"/>
    </row>
    <row r="256" spans="28:28" s="80" customFormat="1">
      <c r="AB256" s="238"/>
    </row>
    <row r="257" spans="28:28" s="80" customFormat="1">
      <c r="AB257" s="238"/>
    </row>
    <row r="258" spans="28:28" s="80" customFormat="1">
      <c r="AB258" s="238"/>
    </row>
    <row r="259" spans="28:28" s="80" customFormat="1">
      <c r="AB259" s="238"/>
    </row>
    <row r="260" spans="28:28" s="80" customFormat="1">
      <c r="AB260" s="238"/>
    </row>
    <row r="261" spans="28:28" s="80" customFormat="1">
      <c r="AB261" s="238"/>
    </row>
    <row r="262" spans="28:28" s="80" customFormat="1">
      <c r="AB262" s="238"/>
    </row>
    <row r="263" spans="28:28" s="80" customFormat="1">
      <c r="AB263" s="238"/>
    </row>
    <row r="264" spans="28:28" s="80" customFormat="1">
      <c r="AB264" s="238"/>
    </row>
    <row r="265" spans="28:28" s="80" customFormat="1">
      <c r="AB265" s="238"/>
    </row>
    <row r="266" spans="28:28" s="80" customFormat="1">
      <c r="AB266" s="238"/>
    </row>
    <row r="267" spans="28:28" s="80" customFormat="1">
      <c r="AB267" s="238"/>
    </row>
    <row r="268" spans="28:28" s="80" customFormat="1">
      <c r="AB268" s="238"/>
    </row>
    <row r="269" spans="28:28" s="80" customFormat="1">
      <c r="AB269" s="238"/>
    </row>
    <row r="270" spans="28:28" s="80" customFormat="1">
      <c r="AB270" s="238"/>
    </row>
    <row r="271" spans="28:28" s="80" customFormat="1">
      <c r="AB271" s="238"/>
    </row>
    <row r="272" spans="28:28" s="80" customFormat="1">
      <c r="AB272" s="238"/>
    </row>
    <row r="273" spans="28:28" s="80" customFormat="1">
      <c r="AB273" s="238"/>
    </row>
    <row r="274" spans="28:28" s="80" customFormat="1">
      <c r="AB274" s="238"/>
    </row>
    <row r="275" spans="28:28" s="80" customFormat="1">
      <c r="AB275" s="238"/>
    </row>
    <row r="276" spans="28:28" s="80" customFormat="1">
      <c r="AB276" s="238"/>
    </row>
    <row r="277" spans="28:28" s="80" customFormat="1">
      <c r="AB277" s="238"/>
    </row>
    <row r="278" spans="28:28" s="80" customFormat="1">
      <c r="AB278" s="238"/>
    </row>
    <row r="279" spans="28:28" s="80" customFormat="1">
      <c r="AB279" s="238"/>
    </row>
    <row r="280" spans="28:28" s="80" customFormat="1">
      <c r="AB280" s="238"/>
    </row>
    <row r="281" spans="28:28" s="80" customFormat="1">
      <c r="AB281" s="238"/>
    </row>
    <row r="282" spans="28:28" s="80" customFormat="1">
      <c r="AB282" s="238"/>
    </row>
    <row r="283" spans="28:28" s="80" customFormat="1">
      <c r="AB283" s="238"/>
    </row>
    <row r="284" spans="28:28" s="80" customFormat="1">
      <c r="AB284" s="238"/>
    </row>
    <row r="285" spans="28:28" s="80" customFormat="1">
      <c r="AB285" s="238"/>
    </row>
    <row r="286" spans="28:28" s="80" customFormat="1">
      <c r="AB286" s="238"/>
    </row>
  </sheetData>
  <mergeCells count="3">
    <mergeCell ref="A1:D1"/>
    <mergeCell ref="J1:L1"/>
    <mergeCell ref="AL1:AP1"/>
  </mergeCells>
  <pageMargins left="0.7" right="0.7" top="0.75" bottom="0.75" header="0.3" footer="0.3"/>
  <pageSetup orientation="portrait" r:id="rId1"/>
  <drawing r:id="rId2"/>
  <legacyDrawing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BN81"/>
  <sheetViews>
    <sheetView zoomScale="40" zoomScaleNormal="40" zoomScalePageLayoutView="40" workbookViewId="0">
      <pane xSplit="1" ySplit="3" topLeftCell="B44" activePane="bottomRight" state="frozen"/>
      <selection pane="topRight" activeCell="B1" sqref="B1"/>
      <selection pane="bottomLeft" activeCell="A4" sqref="A4"/>
      <selection pane="bottomRight" activeCell="A108" sqref="A108"/>
    </sheetView>
  </sheetViews>
  <sheetFormatPr defaultColWidth="11.44140625" defaultRowHeight="14.4"/>
  <cols>
    <col min="1" max="2" width="11.44140625" style="117"/>
    <col min="3" max="3" width="16.44140625" style="117" bestFit="1" customWidth="1"/>
    <col min="4" max="5" width="28.44140625" style="117" bestFit="1" customWidth="1"/>
    <col min="6" max="6" width="21" style="117" bestFit="1" customWidth="1"/>
    <col min="7" max="7" width="23" style="117" bestFit="1" customWidth="1"/>
    <col min="8" max="8" width="23" style="117" customWidth="1"/>
    <col min="9" max="9" width="15.33203125" style="117" bestFit="1" customWidth="1"/>
    <col min="10" max="10" width="36.44140625" style="117" bestFit="1" customWidth="1"/>
    <col min="11" max="11" width="36.44140625" style="117" customWidth="1"/>
    <col min="12" max="12" width="11.44140625" style="117"/>
    <col min="13" max="13" width="21" style="117" bestFit="1" customWidth="1"/>
    <col min="14" max="15" width="39.6640625" style="117" bestFit="1" customWidth="1"/>
    <col min="16" max="16" width="38.44140625" style="117" bestFit="1" customWidth="1"/>
    <col min="17" max="19" width="38.44140625" style="117" customWidth="1"/>
    <col min="20" max="20" width="24.44140625" style="117" bestFit="1" customWidth="1"/>
    <col min="22" max="22" width="31" style="117" bestFit="1" customWidth="1"/>
    <col min="23" max="29" width="31" style="117" customWidth="1"/>
    <col min="30" max="30" width="12.44140625" style="236" customWidth="1"/>
    <col min="31" max="39" width="31" style="117" customWidth="1"/>
    <col min="40" max="40" width="25" style="117" customWidth="1"/>
    <col min="41" max="41" width="25.109375" style="117" customWidth="1"/>
    <col min="42" max="43" width="31" style="117" customWidth="1"/>
    <col min="44" max="45" width="25.44140625" style="117" bestFit="1" customWidth="1"/>
    <col min="46" max="46" width="25.6640625" style="117" bestFit="1" customWidth="1"/>
    <col min="47" max="47" width="25.6640625" style="117" customWidth="1"/>
    <col min="48" max="48" width="16.6640625" style="117" bestFit="1" customWidth="1"/>
    <col min="49" max="49" width="20.6640625" style="117" bestFit="1" customWidth="1"/>
    <col min="50" max="50" width="30.6640625" style="117" bestFit="1" customWidth="1"/>
    <col min="51" max="51" width="30.6640625" style="117" customWidth="1"/>
    <col min="52" max="52" width="13.6640625" style="117" bestFit="1" customWidth="1"/>
    <col min="53" max="56" width="11.44140625" style="117"/>
    <col min="57" max="57" width="28.44140625" style="117" bestFit="1" customWidth="1"/>
    <col min="58" max="58" width="24.6640625" style="117" customWidth="1"/>
    <col min="59" max="59" width="11.44140625" style="117"/>
    <col min="60" max="60" width="14.33203125" style="117" bestFit="1" customWidth="1"/>
    <col min="61" max="61" width="24.6640625" style="117" customWidth="1"/>
    <col min="62" max="62" width="21" style="117" customWidth="1"/>
    <col min="63" max="63" width="17.6640625" style="117" customWidth="1"/>
    <col min="64" max="64" width="16" style="117" customWidth="1"/>
    <col min="65" max="65" width="14" style="117" customWidth="1"/>
    <col min="66" max="66" width="16" style="117" customWidth="1"/>
    <col min="67" max="16384" width="11.44140625" style="117"/>
  </cols>
  <sheetData>
    <row r="1" spans="1:66" ht="18.75" customHeight="1">
      <c r="C1" s="117" t="s">
        <v>238</v>
      </c>
      <c r="D1" s="117" t="s">
        <v>238</v>
      </c>
      <c r="E1" s="118" t="s">
        <v>239</v>
      </c>
      <c r="I1" s="117">
        <v>1994</v>
      </c>
      <c r="J1" s="117">
        <v>1994</v>
      </c>
      <c r="K1" s="255" t="s">
        <v>197</v>
      </c>
      <c r="L1" s="117">
        <v>1994</v>
      </c>
      <c r="N1" s="117" t="s">
        <v>240</v>
      </c>
      <c r="O1" s="117" t="s">
        <v>240</v>
      </c>
      <c r="P1" s="118" t="s">
        <v>241</v>
      </c>
      <c r="Q1" s="118"/>
      <c r="T1" s="117" t="s">
        <v>242</v>
      </c>
      <c r="V1" s="117" t="s">
        <v>243</v>
      </c>
      <c r="W1" s="117" t="s">
        <v>126</v>
      </c>
      <c r="X1" s="117" t="s">
        <v>49</v>
      </c>
      <c r="Y1" s="117" t="s">
        <v>126</v>
      </c>
      <c r="Z1" s="117" t="s">
        <v>126</v>
      </c>
      <c r="AA1" s="117" t="s">
        <v>126</v>
      </c>
      <c r="AD1" s="5"/>
      <c r="AE1" s="117" t="s">
        <v>49</v>
      </c>
      <c r="AH1" s="117" t="s">
        <v>126</v>
      </c>
      <c r="AI1" s="113" t="s">
        <v>126</v>
      </c>
      <c r="AJ1" s="113"/>
      <c r="AK1" s="113"/>
      <c r="AL1" s="113"/>
      <c r="AM1" s="113"/>
      <c r="AN1" s="113"/>
      <c r="AO1" s="113"/>
      <c r="AP1" s="117" t="s">
        <v>126</v>
      </c>
      <c r="AR1" s="117" t="s">
        <v>244</v>
      </c>
      <c r="AS1" s="117" t="s">
        <v>245</v>
      </c>
      <c r="AT1" s="117" t="s">
        <v>31</v>
      </c>
      <c r="AX1" s="117" t="s">
        <v>49</v>
      </c>
      <c r="BA1" s="113"/>
      <c r="BH1" s="117" t="s">
        <v>157</v>
      </c>
      <c r="BI1" s="113" t="s">
        <v>126</v>
      </c>
      <c r="BJ1" s="113" t="s">
        <v>126</v>
      </c>
      <c r="BK1" s="113" t="s">
        <v>126</v>
      </c>
      <c r="BL1" s="113" t="s">
        <v>126</v>
      </c>
      <c r="BM1" s="113" t="s">
        <v>126</v>
      </c>
      <c r="BN1" s="113" t="s">
        <v>126</v>
      </c>
    </row>
    <row r="2" spans="1:66" s="220" customFormat="1" ht="28.5" customHeight="1">
      <c r="B2" s="220" t="s">
        <v>246</v>
      </c>
      <c r="C2" s="220" t="s">
        <v>247</v>
      </c>
      <c r="D2" s="220" t="s">
        <v>248</v>
      </c>
      <c r="E2" s="220" t="s">
        <v>248</v>
      </c>
      <c r="F2" s="220" t="s">
        <v>249</v>
      </c>
      <c r="G2" s="220" t="s">
        <v>165</v>
      </c>
      <c r="I2" s="220" t="s">
        <v>192</v>
      </c>
      <c r="J2" s="220" t="s">
        <v>5</v>
      </c>
      <c r="K2" s="9" t="s">
        <v>47</v>
      </c>
      <c r="L2" s="220" t="s">
        <v>250</v>
      </c>
      <c r="M2" s="220" t="s">
        <v>249</v>
      </c>
      <c r="N2" s="220" t="s">
        <v>251</v>
      </c>
      <c r="O2" s="220" t="s">
        <v>251</v>
      </c>
      <c r="P2" s="221" t="s">
        <v>251</v>
      </c>
      <c r="Q2" s="221"/>
      <c r="R2" s="220" t="s">
        <v>249</v>
      </c>
      <c r="S2" s="220" t="s">
        <v>249</v>
      </c>
      <c r="T2" s="220" t="s">
        <v>164</v>
      </c>
      <c r="U2" s="222"/>
      <c r="V2" s="220" t="s">
        <v>31</v>
      </c>
      <c r="W2" s="220" t="s">
        <v>252</v>
      </c>
      <c r="X2" s="220" t="s">
        <v>253</v>
      </c>
      <c r="Y2" s="220" t="s">
        <v>253</v>
      </c>
      <c r="Z2" s="220" t="s">
        <v>254</v>
      </c>
      <c r="AA2" s="220" t="s">
        <v>255</v>
      </c>
      <c r="AB2" s="221" t="s">
        <v>256</v>
      </c>
      <c r="AC2" s="221" t="s">
        <v>461</v>
      </c>
      <c r="AD2" s="5" t="s">
        <v>462</v>
      </c>
      <c r="AE2" s="220" t="s">
        <v>257</v>
      </c>
      <c r="AF2" s="220" t="s">
        <v>258</v>
      </c>
      <c r="AH2" s="71" t="s">
        <v>257</v>
      </c>
      <c r="AI2" s="71" t="s">
        <v>177</v>
      </c>
      <c r="AJ2" s="71" t="s">
        <v>259</v>
      </c>
      <c r="AK2" s="71"/>
      <c r="AL2" s="71"/>
      <c r="AM2" s="71"/>
      <c r="AN2" s="71"/>
      <c r="AO2" s="71"/>
      <c r="AP2" s="220" t="s">
        <v>260</v>
      </c>
      <c r="AQ2" s="220" t="s">
        <v>257</v>
      </c>
      <c r="AR2" s="220" t="s">
        <v>31</v>
      </c>
      <c r="AS2" s="220" t="s">
        <v>261</v>
      </c>
      <c r="AT2" s="220" t="s">
        <v>6</v>
      </c>
      <c r="AV2" s="220" t="s">
        <v>262</v>
      </c>
      <c r="AW2" s="221" t="s">
        <v>263</v>
      </c>
      <c r="AX2" s="220" t="s">
        <v>48</v>
      </c>
      <c r="BA2" s="3" t="s">
        <v>156</v>
      </c>
      <c r="BB2" s="3" t="s">
        <v>264</v>
      </c>
      <c r="BC2" s="3" t="s">
        <v>265</v>
      </c>
      <c r="BD2" s="221" t="s">
        <v>266</v>
      </c>
      <c r="BE2" s="220" t="s">
        <v>267</v>
      </c>
      <c r="BF2" s="465" t="s">
        <v>268</v>
      </c>
      <c r="BH2" s="221" t="s">
        <v>269</v>
      </c>
      <c r="BI2" s="465" t="s">
        <v>270</v>
      </c>
      <c r="BJ2" s="465" t="s">
        <v>271</v>
      </c>
      <c r="BK2" s="465" t="s">
        <v>272</v>
      </c>
      <c r="BL2" s="465" t="s">
        <v>270</v>
      </c>
      <c r="BM2" s="465" t="s">
        <v>271</v>
      </c>
      <c r="BN2" s="465" t="s">
        <v>272</v>
      </c>
    </row>
    <row r="3" spans="1:66">
      <c r="C3" s="117" t="s">
        <v>273</v>
      </c>
      <c r="D3" s="117" t="s">
        <v>273</v>
      </c>
      <c r="E3" s="117" t="s">
        <v>274</v>
      </c>
      <c r="F3" s="117" t="s">
        <v>275</v>
      </c>
      <c r="I3" s="117" t="s">
        <v>193</v>
      </c>
      <c r="J3" s="117" t="s">
        <v>193</v>
      </c>
      <c r="L3" s="117" t="s">
        <v>276</v>
      </c>
      <c r="M3" s="117" t="s">
        <v>277</v>
      </c>
      <c r="N3" s="117" t="s">
        <v>278</v>
      </c>
      <c r="O3" s="117" t="s">
        <v>279</v>
      </c>
      <c r="P3" s="118" t="s">
        <v>279</v>
      </c>
      <c r="Q3" s="118"/>
      <c r="R3" s="117" t="s">
        <v>280</v>
      </c>
      <c r="S3" s="117" t="s">
        <v>281</v>
      </c>
      <c r="V3" s="117" t="s">
        <v>282</v>
      </c>
      <c r="AR3" s="117" t="s">
        <v>283</v>
      </c>
      <c r="AV3" s="117" t="s">
        <v>192</v>
      </c>
      <c r="AW3" s="118" t="s">
        <v>192</v>
      </c>
      <c r="BF3" s="465"/>
      <c r="BI3" s="465"/>
      <c r="BJ3" s="465"/>
      <c r="BK3" s="465"/>
      <c r="BL3" s="465"/>
      <c r="BM3" s="465"/>
      <c r="BN3" s="465"/>
    </row>
    <row r="4" spans="1:66" s="119" customFormat="1">
      <c r="A4" s="117">
        <v>1939</v>
      </c>
      <c r="B4" s="145">
        <v>4.0000000000000036E-2</v>
      </c>
      <c r="AD4" s="236"/>
    </row>
    <row r="5" spans="1:66" s="119" customFormat="1">
      <c r="A5" s="117">
        <v>1940</v>
      </c>
      <c r="B5" s="145">
        <v>9.6153846153846256E-2</v>
      </c>
      <c r="AD5" s="277">
        <v>-1.5911519669482678E-3</v>
      </c>
    </row>
    <row r="6" spans="1:66" s="119" customFormat="1">
      <c r="A6" s="117">
        <v>1941</v>
      </c>
      <c r="B6" s="145">
        <v>0.13157894736842102</v>
      </c>
      <c r="AD6" s="277">
        <v>1.2131835996766592E-2</v>
      </c>
    </row>
    <row r="7" spans="1:66" s="119" customFormat="1">
      <c r="A7" s="117">
        <v>1942</v>
      </c>
      <c r="B7" s="145">
        <v>0.32558139534883712</v>
      </c>
      <c r="AD7" s="277">
        <v>1.2552170129341433E-2</v>
      </c>
    </row>
    <row r="8" spans="1:66" s="119" customFormat="1">
      <c r="A8" s="117">
        <v>1943</v>
      </c>
      <c r="B8" s="145">
        <v>-2.9239766081871399E-2</v>
      </c>
      <c r="AD8" s="277">
        <v>-5.831442617988244E-3</v>
      </c>
    </row>
    <row r="9" spans="1:66" s="119" customFormat="1">
      <c r="A9" s="117">
        <v>1944</v>
      </c>
      <c r="B9" s="145">
        <v>0.18072289156626509</v>
      </c>
      <c r="AD9" s="277">
        <v>1.7333450679375799E-2</v>
      </c>
    </row>
    <row r="10" spans="1:66" s="119" customFormat="1">
      <c r="A10" s="117">
        <v>1945</v>
      </c>
      <c r="B10" s="145">
        <v>0.11224489795918369</v>
      </c>
      <c r="AD10" s="277">
        <v>4.6544297134348253E-2</v>
      </c>
    </row>
    <row r="11" spans="1:66" s="119" customFormat="1">
      <c r="A11" s="117">
        <v>1946</v>
      </c>
      <c r="B11" s="145">
        <v>0.12844036697247696</v>
      </c>
      <c r="AD11" s="277">
        <v>4.9764093407918875E-2</v>
      </c>
    </row>
    <row r="12" spans="1:66" s="119" customFormat="1">
      <c r="A12" s="117">
        <v>1947</v>
      </c>
      <c r="B12" s="145">
        <v>0.29674796747967469</v>
      </c>
      <c r="AD12" s="277">
        <v>1.2242304971742356E-2</v>
      </c>
    </row>
    <row r="13" spans="1:66" s="119" customFormat="1">
      <c r="A13" s="117">
        <v>1948</v>
      </c>
      <c r="B13" s="145">
        <v>0.46081504702194365</v>
      </c>
      <c r="AD13" s="277"/>
    </row>
    <row r="14" spans="1:66" s="119" customFormat="1">
      <c r="A14" s="117">
        <v>1949</v>
      </c>
      <c r="B14" s="145">
        <v>0.22746781115879822</v>
      </c>
      <c r="AD14" s="277"/>
    </row>
    <row r="15" spans="1:66" s="119" customFormat="1">
      <c r="A15" s="117">
        <v>1950</v>
      </c>
      <c r="B15" s="145">
        <v>0.79370629370629375</v>
      </c>
      <c r="C15" s="119">
        <v>596.92756704738326</v>
      </c>
      <c r="D15" s="117">
        <v>596.92756704738326</v>
      </c>
      <c r="E15" s="117">
        <v>100</v>
      </c>
      <c r="AD15" s="277"/>
    </row>
    <row r="16" spans="1:66" s="119" customFormat="1">
      <c r="A16" s="117">
        <v>1951</v>
      </c>
      <c r="B16" s="145">
        <v>0.48538011695906436</v>
      </c>
      <c r="C16" s="119">
        <v>586.45319145273379</v>
      </c>
      <c r="D16" s="117">
        <v>574.48179767217857</v>
      </c>
      <c r="E16" s="117">
        <v>96.239783415225816</v>
      </c>
      <c r="AD16" s="277"/>
    </row>
    <row r="17" spans="1:66" s="119" customFormat="1">
      <c r="A17" s="117">
        <v>1952</v>
      </c>
      <c r="B17" s="145">
        <v>1.5702099737532809</v>
      </c>
      <c r="C17" s="119">
        <v>570.52502326633123</v>
      </c>
      <c r="D17" s="117">
        <v>547.47026323051989</v>
      </c>
      <c r="E17" s="117">
        <v>91.714689260960611</v>
      </c>
      <c r="AD17" s="277"/>
    </row>
    <row r="18" spans="1:66" s="119" customFormat="1">
      <c r="A18" s="117">
        <v>1953</v>
      </c>
      <c r="B18" s="145">
        <v>0.339545570589737</v>
      </c>
      <c r="C18" s="119">
        <v>585.07346665418004</v>
      </c>
      <c r="D18" s="117">
        <v>549.97020145999534</v>
      </c>
      <c r="E18" s="117">
        <v>92.133490195526434</v>
      </c>
      <c r="AD18" s="277"/>
    </row>
    <row r="19" spans="1:66" s="119" customFormat="1">
      <c r="A19" s="117">
        <v>1954</v>
      </c>
      <c r="B19" s="145">
        <v>0.17953116066323616</v>
      </c>
      <c r="C19" s="119">
        <v>586.827165075077</v>
      </c>
      <c r="D19" s="117">
        <v>540.35837188617359</v>
      </c>
      <c r="E19" s="117">
        <v>90.523273126583675</v>
      </c>
      <c r="AD19" s="277"/>
    </row>
    <row r="20" spans="1:66" s="119" customFormat="1">
      <c r="A20" s="117">
        <v>1955</v>
      </c>
      <c r="B20" s="145">
        <v>0.25416060752948777</v>
      </c>
      <c r="C20" s="119">
        <v>614.79087947278163</v>
      </c>
      <c r="D20" s="117">
        <v>554.55165973022258</v>
      </c>
      <c r="E20" s="117">
        <v>92.900996761337879</v>
      </c>
      <c r="AD20" s="277"/>
    </row>
    <row r="21" spans="1:66" s="119" customFormat="1">
      <c r="A21" s="117">
        <v>1956</v>
      </c>
      <c r="B21" s="145">
        <v>0.18294254058232418</v>
      </c>
      <c r="C21" s="119">
        <v>613.48847333740355</v>
      </c>
      <c r="D21" s="117">
        <v>542.08066786076699</v>
      </c>
      <c r="E21" s="117">
        <v>90.811799921067717</v>
      </c>
      <c r="AD21" s="277"/>
      <c r="AP21" s="119">
        <v>-1</v>
      </c>
    </row>
    <row r="22" spans="1:66" s="119" customFormat="1">
      <c r="A22" s="117">
        <v>1957</v>
      </c>
      <c r="B22" s="145">
        <v>0.14844260509692875</v>
      </c>
      <c r="C22" s="119">
        <v>632.53175669569578</v>
      </c>
      <c r="D22" s="117">
        <v>547.49828763507537</v>
      </c>
      <c r="E22" s="117">
        <v>91.719384035687483</v>
      </c>
      <c r="AD22" s="277"/>
    </row>
    <row r="23" spans="1:66" s="119" customFormat="1">
      <c r="A23" s="117">
        <v>1958</v>
      </c>
      <c r="B23" s="145">
        <v>3.7363679468942701E-2</v>
      </c>
      <c r="C23" s="119">
        <v>654.58742090497685</v>
      </c>
      <c r="D23" s="117">
        <v>555.02303090935607</v>
      </c>
      <c r="E23" s="117">
        <v>92.979962988591396</v>
      </c>
      <c r="AD23" s="277"/>
    </row>
    <row r="24" spans="1:66" s="119" customFormat="1">
      <c r="A24" s="117">
        <v>1959</v>
      </c>
      <c r="B24" s="145">
        <v>8.6113904378828154E-2</v>
      </c>
      <c r="C24" s="119">
        <v>637.13517868451311</v>
      </c>
      <c r="D24" s="117">
        <v>529.19758416808577</v>
      </c>
      <c r="E24" s="117">
        <v>88.653567598776831</v>
      </c>
      <c r="AB24" s="119">
        <v>-1</v>
      </c>
      <c r="AD24" s="277"/>
    </row>
    <row r="25" spans="1:66" s="119" customFormat="1">
      <c r="A25" s="117">
        <v>1960</v>
      </c>
      <c r="B25" s="145">
        <v>8.1632653061224358E-2</v>
      </c>
      <c r="C25" s="119">
        <v>615.66607295260917</v>
      </c>
      <c r="D25" s="117">
        <v>500.92696295576224</v>
      </c>
      <c r="E25" s="117">
        <v>83.917545546359278</v>
      </c>
      <c r="F25" s="117">
        <v>26.655999999999999</v>
      </c>
      <c r="G25" s="119">
        <v>123.59</v>
      </c>
      <c r="I25" s="120">
        <v>31981.901037491996</v>
      </c>
      <c r="J25" s="120">
        <v>2234665.2185439202</v>
      </c>
      <c r="K25" s="59">
        <v>246.48863998067051</v>
      </c>
      <c r="L25" s="119">
        <v>0.19906479625918505</v>
      </c>
      <c r="M25" s="119">
        <f t="shared" ref="M25:M56" si="0">+F25/L25</f>
        <v>133.90614765100671</v>
      </c>
      <c r="N25" s="119">
        <f>+M25*$G$59</f>
        <v>256965.89734228188</v>
      </c>
      <c r="O25" s="124">
        <f>+N25/J25</f>
        <v>0.11499078036830843</v>
      </c>
      <c r="Q25" s="124">
        <f>+F25/K25</f>
        <v>0.1081429148300317</v>
      </c>
      <c r="R25" s="119">
        <f t="shared" ref="R25:R56" si="1">+F25*G25</f>
        <v>3294.4150399999999</v>
      </c>
      <c r="S25" s="119">
        <f t="shared" ref="S25:S56" si="2">+R25/I25</f>
        <v>0.10300873097374659</v>
      </c>
      <c r="T25" s="119">
        <v>126.20450969159829</v>
      </c>
      <c r="X25" s="119">
        <v>0.79100000000000004</v>
      </c>
      <c r="Y25" s="58">
        <f t="shared" ref="Y25:Y56" si="3">+X25*G25/1000</f>
        <v>9.775969000000001E-2</v>
      </c>
      <c r="Z25" s="58">
        <f>+Y25+W25</f>
        <v>9.775969000000001E-2</v>
      </c>
      <c r="AA25" s="121"/>
      <c r="AB25" s="121"/>
      <c r="AC25" s="121"/>
      <c r="AD25" s="277"/>
      <c r="AE25" s="119">
        <v>2.246</v>
      </c>
      <c r="AH25" s="119">
        <f t="shared" ref="AH25:AH56" si="4">+AE25*G25</f>
        <v>277.58314000000001</v>
      </c>
      <c r="AK25" s="119">
        <v>1.4391290210919734E-2</v>
      </c>
      <c r="AL25" s="58"/>
      <c r="AM25" s="58"/>
      <c r="AN25" s="58">
        <f t="shared" ref="AN25:AN79" si="5">+AK25/$AK$59*100</f>
        <v>1.4391290210919734</v>
      </c>
      <c r="AP25" s="119">
        <f t="shared" ref="AP25:AP81" si="6">(-AH25+AA25-Z25)*-1</f>
        <v>277.68089968999999</v>
      </c>
      <c r="AQ25" s="58"/>
      <c r="AT25" s="122">
        <v>2080</v>
      </c>
      <c r="AU25" s="122"/>
      <c r="AV25" s="145">
        <f t="shared" ref="AV25:AV56" si="7">+AT25/I25</f>
        <v>6.5036784322534208E-2</v>
      </c>
      <c r="AX25" s="119">
        <v>1.0089999999999999</v>
      </c>
      <c r="AZ25" s="119">
        <v>1719.6</v>
      </c>
      <c r="BA25" s="123"/>
      <c r="BI25" s="58">
        <v>768</v>
      </c>
      <c r="BJ25" s="58">
        <v>621</v>
      </c>
      <c r="BK25" s="58">
        <v>1389</v>
      </c>
      <c r="BL25" s="124">
        <f t="shared" ref="BL25:BL55" si="8">+BI25/I25</f>
        <v>2.401358190370494E-2</v>
      </c>
      <c r="BM25" s="124">
        <f t="shared" ref="BM25:BM55" si="9">+BJ25/I25</f>
        <v>1.9417232242448915E-2</v>
      </c>
      <c r="BN25" s="124">
        <f t="shared" ref="BN25:BN55" si="10">+BK25/I25</f>
        <v>4.3430814146153851E-2</v>
      </c>
    </row>
    <row r="26" spans="1:66" s="119" customFormat="1">
      <c r="A26" s="117">
        <v>1961</v>
      </c>
      <c r="B26" s="145">
        <v>0.179245283018868</v>
      </c>
      <c r="C26" s="119">
        <v>640.96555653732855</v>
      </c>
      <c r="D26" s="117">
        <v>510.86576267823807</v>
      </c>
      <c r="E26" s="117">
        <v>85.582538130239556</v>
      </c>
      <c r="F26" s="117">
        <v>28.709</v>
      </c>
      <c r="G26" s="119">
        <v>123.61</v>
      </c>
      <c r="H26" s="124">
        <f t="shared" ref="H26:H40" si="11">+G26/G25-1</f>
        <v>1.6182539040365818E-4</v>
      </c>
      <c r="I26" s="119">
        <v>36474.200093024279</v>
      </c>
      <c r="J26" s="117">
        <v>2388863.4989098529</v>
      </c>
      <c r="K26" s="59">
        <v>283.84591512081147</v>
      </c>
      <c r="L26" s="119">
        <v>0.20040080160320639</v>
      </c>
      <c r="M26" s="119">
        <f t="shared" si="0"/>
        <v>143.25791000000001</v>
      </c>
      <c r="N26" s="119">
        <f t="shared" ref="N26:N56" si="12">+M26*$G$59</f>
        <v>274911.92929</v>
      </c>
      <c r="O26" s="124">
        <f t="shared" ref="O26:O56" si="13">+N26/J26</f>
        <v>0.11508063537973384</v>
      </c>
      <c r="P26" s="119">
        <f t="shared" ref="P26:P57" si="14">+O26-O25</f>
        <v>8.9855011425415965E-5</v>
      </c>
      <c r="Q26" s="124">
        <f t="shared" ref="Q26:Q79" si="15">+F26/K26</f>
        <v>0.10114290349318847</v>
      </c>
      <c r="R26" s="119">
        <f t="shared" si="1"/>
        <v>3548.71949</v>
      </c>
      <c r="S26" s="119">
        <f t="shared" si="2"/>
        <v>9.7293963430295907E-2</v>
      </c>
      <c r="T26" s="119">
        <v>107.00339947083428</v>
      </c>
      <c r="X26" s="119">
        <v>0.96499999999999997</v>
      </c>
      <c r="Y26" s="58">
        <f t="shared" si="3"/>
        <v>0.11928364999999999</v>
      </c>
      <c r="Z26" s="58">
        <f t="shared" ref="Z26:Z79" si="16">+Y26+W26</f>
        <v>0.11928364999999999</v>
      </c>
      <c r="AA26" s="121"/>
      <c r="AB26" s="121"/>
      <c r="AC26" s="121"/>
      <c r="AD26" s="277"/>
      <c r="AE26" s="119">
        <v>4.1890000000000001</v>
      </c>
      <c r="AF26" s="119">
        <f t="shared" ref="AF26:AF57" si="17">+AE26/L26</f>
        <v>20.903110000000002</v>
      </c>
      <c r="AG26" s="124">
        <f t="shared" ref="AG26:AG57" si="18">+AF26*$G$59/J26</f>
        <v>1.6791695343122543E-2</v>
      </c>
      <c r="AH26" s="119">
        <f t="shared" si="4"/>
        <v>517.80228999999997</v>
      </c>
      <c r="AK26" s="119">
        <v>1.6970861097782716E-2</v>
      </c>
      <c r="AL26" s="58"/>
      <c r="AM26" s="58"/>
      <c r="AN26" s="58">
        <f t="shared" si="5"/>
        <v>1.6970861097782717</v>
      </c>
      <c r="AP26" s="119">
        <f t="shared" si="6"/>
        <v>517.92157365000003</v>
      </c>
      <c r="AQ26" s="58"/>
      <c r="AT26" s="122">
        <v>2772</v>
      </c>
      <c r="AU26" s="124"/>
      <c r="AV26" s="145">
        <f t="shared" si="7"/>
        <v>7.599892507389483E-2</v>
      </c>
      <c r="AW26" s="119">
        <f>+AV26-AV25</f>
        <v>1.0962140751360622E-2</v>
      </c>
      <c r="AX26" s="119">
        <v>2.5179999999999998</v>
      </c>
      <c r="AY26" s="124"/>
      <c r="AZ26" s="119">
        <v>2083.1</v>
      </c>
      <c r="BA26" s="119">
        <f t="shared" ref="BA26:BA57" si="19">+J26/J25</f>
        <v>1.0690028551419466</v>
      </c>
      <c r="BB26" s="119">
        <f t="shared" ref="BB26:BB57" si="20">+B26+1</f>
        <v>1.179245283018868</v>
      </c>
      <c r="BC26" s="119">
        <v>1.0107518189135536</v>
      </c>
      <c r="BE26" s="119">
        <f>+X26/F25</f>
        <v>3.6201980792316929E-2</v>
      </c>
      <c r="BI26" s="58">
        <v>877</v>
      </c>
      <c r="BJ26" s="58">
        <v>794</v>
      </c>
      <c r="BK26" s="58">
        <v>1671</v>
      </c>
      <c r="BL26" s="124">
        <f t="shared" si="8"/>
        <v>2.4044392961690392E-2</v>
      </c>
      <c r="BM26" s="124">
        <f t="shared" si="9"/>
        <v>2.1768811871815473E-2</v>
      </c>
      <c r="BN26" s="124">
        <f t="shared" si="10"/>
        <v>4.5813204833505865E-2</v>
      </c>
    </row>
    <row r="27" spans="1:66" s="119" customFormat="1">
      <c r="A27" s="117">
        <v>1962</v>
      </c>
      <c r="B27" s="145">
        <v>1.9999999999999796E-2</v>
      </c>
      <c r="C27" s="119">
        <v>644.75945775758123</v>
      </c>
      <c r="D27" s="117">
        <v>503.39946021679924</v>
      </c>
      <c r="E27" s="117">
        <v>84.331749446049642</v>
      </c>
      <c r="F27" s="117">
        <v>29.193999999999999</v>
      </c>
      <c r="G27" s="119">
        <v>123.6</v>
      </c>
      <c r="H27" s="124">
        <f t="shared" si="11"/>
        <v>-8.0899603592032854E-5</v>
      </c>
      <c r="I27" s="119">
        <v>40850.90635601955</v>
      </c>
      <c r="J27" s="117">
        <v>2467702.1700095898</v>
      </c>
      <c r="K27" s="59">
        <v>324.21354250809168</v>
      </c>
      <c r="L27" s="119">
        <v>0.20307281229124913</v>
      </c>
      <c r="M27" s="119">
        <f>+F27/L27</f>
        <v>143.76124342105265</v>
      </c>
      <c r="N27" s="119">
        <f>+M27*$G$59</f>
        <v>275877.82612500002</v>
      </c>
      <c r="O27" s="124">
        <f t="shared" si="13"/>
        <v>0.11179543037153788</v>
      </c>
      <c r="P27" s="119">
        <f t="shared" si="14"/>
        <v>-3.2852050081959572E-3</v>
      </c>
      <c r="Q27" s="124">
        <f t="shared" si="15"/>
        <v>9.0045590860139288E-2</v>
      </c>
      <c r="R27" s="119">
        <f t="shared" si="1"/>
        <v>3608.3783999999996</v>
      </c>
      <c r="S27" s="119">
        <f t="shared" si="2"/>
        <v>8.833043674851758E-2</v>
      </c>
      <c r="T27" s="119">
        <v>105.2453855731178</v>
      </c>
      <c r="V27" s="119">
        <v>65</v>
      </c>
      <c r="W27" s="119">
        <v>16</v>
      </c>
      <c r="X27" s="119">
        <v>1.008</v>
      </c>
      <c r="Y27" s="58">
        <f t="shared" si="3"/>
        <v>0.12458879999999999</v>
      </c>
      <c r="Z27" s="58">
        <f t="shared" si="16"/>
        <v>16.124588800000001</v>
      </c>
      <c r="AA27" s="121">
        <f>+V27+Z27</f>
        <v>81.124588799999998</v>
      </c>
      <c r="AB27" s="226">
        <f t="shared" ref="AB27:AB58" si="21">+AA27/I27</f>
        <v>1.9858699851844526E-3</v>
      </c>
      <c r="AC27" s="226">
        <f>+AB27*-1</f>
        <v>-1.9858699851844526E-3</v>
      </c>
      <c r="AD27" s="277">
        <v>-1.5911519669482678E-3</v>
      </c>
      <c r="AE27" s="119">
        <v>4.226</v>
      </c>
      <c r="AF27" s="119">
        <f t="shared" si="17"/>
        <v>20.810269736842109</v>
      </c>
      <c r="AG27" s="124">
        <f t="shared" si="18"/>
        <v>1.6183033799757454E-2</v>
      </c>
      <c r="AH27" s="119">
        <f t="shared" si="4"/>
        <v>522.33359999999993</v>
      </c>
      <c r="AI27" s="58">
        <v>619</v>
      </c>
      <c r="AJ27" s="126">
        <f>+AH27+AI27</f>
        <v>1141.3335999999999</v>
      </c>
      <c r="AK27" s="119">
        <v>1.731027831973837E-2</v>
      </c>
      <c r="AL27" s="58">
        <f>+AJ27/AK27</f>
        <v>65933.867666273902</v>
      </c>
      <c r="AM27" s="127">
        <f t="shared" ref="AM27:AM58" si="22">+AL27/J27</f>
        <v>2.6718729864397564E-2</v>
      </c>
      <c r="AN27" s="58">
        <f t="shared" si="5"/>
        <v>1.731027831973837</v>
      </c>
      <c r="AO27" s="58"/>
      <c r="AP27" s="119">
        <f t="shared" si="6"/>
        <v>457.33359999999999</v>
      </c>
      <c r="AQ27" s="58"/>
      <c r="AR27" s="119">
        <v>54</v>
      </c>
      <c r="AS27" s="119">
        <v>-21</v>
      </c>
      <c r="AT27" s="122">
        <v>2934.6000000000004</v>
      </c>
      <c r="AU27" s="124"/>
      <c r="AV27" s="145">
        <f t="shared" si="7"/>
        <v>7.1836839418559797E-2</v>
      </c>
      <c r="AW27" s="119">
        <f t="shared" ref="AW27:AW79" si="23">+AV27-AV26</f>
        <v>-4.1620856553350322E-3</v>
      </c>
      <c r="AX27" s="119">
        <v>2.14</v>
      </c>
      <c r="AY27" s="124"/>
      <c r="AZ27" s="119">
        <v>2059</v>
      </c>
      <c r="BA27" s="119">
        <f t="shared" si="19"/>
        <v>1.033002585177309</v>
      </c>
      <c r="BB27" s="119">
        <f t="shared" si="20"/>
        <v>1.0199999999999998</v>
      </c>
      <c r="BC27" s="119">
        <v>1.0111607142858401</v>
      </c>
      <c r="BD27" s="119">
        <f>+AV26*(1-(1/(BA27*BB27)))</f>
        <v>3.870596315010924E-3</v>
      </c>
      <c r="BE27" s="119">
        <f t="shared" ref="BE27:BE57" si="24">+X27/F26</f>
        <v>3.5110940819951933E-2</v>
      </c>
      <c r="BF27" s="119">
        <f>+BE26/(BA27*BC27)</f>
        <v>3.4658577765534916E-2</v>
      </c>
      <c r="BG27" s="119">
        <f t="shared" ref="BG27:BG58" si="25">+((BF27*M26)-M26)</f>
        <v>-138.292794585737</v>
      </c>
      <c r="BH27" s="124">
        <f t="shared" ref="BH27:BH58" si="26">+BG27*T28/J27</f>
        <v>-5.7867712268598473E-3</v>
      </c>
      <c r="BI27" s="58">
        <v>1055.5</v>
      </c>
      <c r="BJ27" s="58">
        <v>1249.5999999999999</v>
      </c>
      <c r="BK27" s="58">
        <v>2305.1</v>
      </c>
      <c r="BL27" s="124">
        <f t="shared" si="8"/>
        <v>2.5837860017136872E-2</v>
      </c>
      <c r="BM27" s="124">
        <f t="shared" si="9"/>
        <v>3.0589284583054696E-2</v>
      </c>
      <c r="BN27" s="124">
        <f t="shared" si="10"/>
        <v>5.6427144600191569E-2</v>
      </c>
    </row>
    <row r="28" spans="1:66" s="119" customFormat="1">
      <c r="A28" s="117">
        <v>1963</v>
      </c>
      <c r="B28" s="145">
        <v>1.5686274509804088E-2</v>
      </c>
      <c r="C28" s="119">
        <v>657.39440534796222</v>
      </c>
      <c r="D28" s="117">
        <v>502.78689176149857</v>
      </c>
      <c r="E28" s="117">
        <v>84.229129213861228</v>
      </c>
      <c r="F28" s="117">
        <v>29.581</v>
      </c>
      <c r="G28" s="119">
        <v>123.6</v>
      </c>
      <c r="H28" s="124">
        <f t="shared" si="11"/>
        <v>0</v>
      </c>
      <c r="I28" s="119">
        <v>43439.426657305405</v>
      </c>
      <c r="J28" s="117">
        <v>2583938.1315578753</v>
      </c>
      <c r="K28" s="59">
        <v>344.75735442305876</v>
      </c>
      <c r="L28" s="119">
        <v>0.20641282565130259</v>
      </c>
      <c r="M28" s="119">
        <f t="shared" si="0"/>
        <v>143.30989320388349</v>
      </c>
      <c r="N28" s="119">
        <f t="shared" si="12"/>
        <v>275011.68505825242</v>
      </c>
      <c r="O28" s="124">
        <f>+N28/J28</f>
        <v>0.10643121895973796</v>
      </c>
      <c r="P28" s="119">
        <f t="shared" si="14"/>
        <v>-5.3642114117999212E-3</v>
      </c>
      <c r="Q28" s="124">
        <f t="shared" si="15"/>
        <v>8.5802375556289237E-2</v>
      </c>
      <c r="R28" s="119">
        <f t="shared" si="1"/>
        <v>3656.2115999999996</v>
      </c>
      <c r="S28" s="119">
        <f t="shared" si="2"/>
        <v>8.4168044593312286E-2</v>
      </c>
      <c r="T28" s="119">
        <v>103.25937773292991</v>
      </c>
      <c r="V28" s="119">
        <v>-527</v>
      </c>
      <c r="W28" s="119">
        <v>13</v>
      </c>
      <c r="X28" s="119">
        <v>1.2689999999999999</v>
      </c>
      <c r="Y28" s="58">
        <f t="shared" si="3"/>
        <v>0.15684839999999997</v>
      </c>
      <c r="Z28" s="58">
        <f t="shared" si="16"/>
        <v>13.156848399999999</v>
      </c>
      <c r="AA28" s="121">
        <f t="shared" ref="AA28:AA81" si="27">+V28+Z28</f>
        <v>-513.84315160000006</v>
      </c>
      <c r="AB28" s="226">
        <f t="shared" si="21"/>
        <v>-1.1828957956874523E-2</v>
      </c>
      <c r="AC28" s="226">
        <f t="shared" ref="AC28:AC81" si="28">+AB28*-1</f>
        <v>1.1828957956874523E-2</v>
      </c>
      <c r="AD28" s="277">
        <v>1.2131835996766592E-2</v>
      </c>
      <c r="AE28" s="119">
        <v>3.2850000000000001</v>
      </c>
      <c r="AF28" s="119">
        <f t="shared" si="17"/>
        <v>15.91470873786408</v>
      </c>
      <c r="AG28" s="124">
        <f t="shared" si="18"/>
        <v>1.1819294624344657E-2</v>
      </c>
      <c r="AH28" s="119">
        <f t="shared" si="4"/>
        <v>406.02600000000001</v>
      </c>
      <c r="AI28" s="58">
        <v>285</v>
      </c>
      <c r="AJ28" s="126">
        <f t="shared" ref="AJ28:AJ81" si="29">+AH28+AI28</f>
        <v>691.02600000000007</v>
      </c>
      <c r="AK28" s="119">
        <v>1.758181209730288E-2</v>
      </c>
      <c r="AL28" s="58">
        <f t="shared" ref="AL28:AL81" si="30">+AJ28/AK28</f>
        <v>39303.457241816744</v>
      </c>
      <c r="AM28" s="127">
        <f t="shared" si="22"/>
        <v>1.5210680457786504E-2</v>
      </c>
      <c r="AN28" s="58">
        <f t="shared" si="5"/>
        <v>1.758181209730288</v>
      </c>
      <c r="AO28" s="58"/>
      <c r="AP28" s="119">
        <f t="shared" si="6"/>
        <v>933.02600000000007</v>
      </c>
      <c r="AQ28" s="58"/>
      <c r="AR28" s="119">
        <v>-467</v>
      </c>
      <c r="AS28" s="119">
        <v>-3</v>
      </c>
      <c r="AT28" s="122">
        <v>3572.7000000000003</v>
      </c>
      <c r="AU28" s="124"/>
      <c r="AV28" s="145">
        <f t="shared" si="7"/>
        <v>8.2245560655878569E-2</v>
      </c>
      <c r="AW28" s="119">
        <f t="shared" si="23"/>
        <v>1.0408721237318772E-2</v>
      </c>
      <c r="AX28" s="119">
        <v>3.6480000000000001</v>
      </c>
      <c r="AY28" s="124"/>
      <c r="AZ28" s="119">
        <v>2227</v>
      </c>
      <c r="BA28" s="119">
        <f t="shared" si="19"/>
        <v>1.0471029133746046</v>
      </c>
      <c r="BB28" s="119">
        <f t="shared" si="20"/>
        <v>1.0156862745098041</v>
      </c>
      <c r="BC28" s="119">
        <v>1.0121412803643715</v>
      </c>
      <c r="BD28" s="119">
        <f t="shared" ref="BD28:BD79" si="31">+AV27*(1-(1/(BA28*BB28)))</f>
        <v>4.2910526026393109E-3</v>
      </c>
      <c r="BE28" s="119">
        <f t="shared" si="24"/>
        <v>4.3467835856682881E-2</v>
      </c>
      <c r="BF28" s="119">
        <f t="shared" ref="BF28:BF79" si="32">+BE27/(BA28*BC28)</f>
        <v>3.3129277210791619E-2</v>
      </c>
      <c r="BG28" s="119">
        <f t="shared" si="25"/>
        <v>-138.99853733558851</v>
      </c>
      <c r="BH28" s="124">
        <f t="shared" si="26"/>
        <v>-5.3077122064860323E-3</v>
      </c>
      <c r="BI28" s="58">
        <v>1335</v>
      </c>
      <c r="BJ28" s="58">
        <v>1468.2</v>
      </c>
      <c r="BK28" s="58">
        <v>2803.2</v>
      </c>
      <c r="BL28" s="124">
        <f t="shared" si="8"/>
        <v>3.073244982103112E-2</v>
      </c>
      <c r="BM28" s="124">
        <f t="shared" si="9"/>
        <v>3.3798788634635125E-2</v>
      </c>
      <c r="BN28" s="124">
        <f t="shared" si="10"/>
        <v>6.4531238455666246E-2</v>
      </c>
    </row>
    <row r="29" spans="1:66" s="119" customFormat="1">
      <c r="A29" s="117">
        <v>1964</v>
      </c>
      <c r="B29" s="145">
        <v>5.044222772771989E-2</v>
      </c>
      <c r="C29" s="119">
        <v>667.09219828353764</v>
      </c>
      <c r="D29" s="117">
        <v>499.78903416784345</v>
      </c>
      <c r="E29" s="117">
        <v>83.726914580269479</v>
      </c>
      <c r="F29" s="117">
        <v>33.645000000000003</v>
      </c>
      <c r="G29" s="119">
        <v>123.6</v>
      </c>
      <c r="H29" s="124">
        <f t="shared" si="11"/>
        <v>0</v>
      </c>
      <c r="I29" s="119">
        <v>46286.816862199667</v>
      </c>
      <c r="J29" s="117">
        <v>2692785.940305342</v>
      </c>
      <c r="K29" s="59">
        <v>367.35568938253704</v>
      </c>
      <c r="L29" s="119">
        <v>0.20841683366733468</v>
      </c>
      <c r="M29" s="119">
        <f t="shared" si="0"/>
        <v>161.43129807692307</v>
      </c>
      <c r="N29" s="119">
        <f t="shared" si="12"/>
        <v>309786.66100961535</v>
      </c>
      <c r="O29" s="124">
        <f t="shared" si="13"/>
        <v>0.11504318125431383</v>
      </c>
      <c r="P29" s="119">
        <f t="shared" si="14"/>
        <v>8.6119622945758645E-3</v>
      </c>
      <c r="Q29" s="124">
        <f t="shared" si="15"/>
        <v>9.1586984964222476E-2</v>
      </c>
      <c r="R29" s="119">
        <f t="shared" si="1"/>
        <v>4158.5219999999999</v>
      </c>
      <c r="S29" s="119">
        <f t="shared" si="2"/>
        <v>8.9842470964903942E-2</v>
      </c>
      <c r="T29" s="119">
        <v>98.66866389077444</v>
      </c>
      <c r="V29" s="119">
        <v>-581</v>
      </c>
      <c r="W29" s="119">
        <v>19</v>
      </c>
      <c r="X29" s="119">
        <v>1.411</v>
      </c>
      <c r="Y29" s="58">
        <f t="shared" si="3"/>
        <v>0.17439959999999999</v>
      </c>
      <c r="Z29" s="58">
        <f t="shared" si="16"/>
        <v>19.174399600000001</v>
      </c>
      <c r="AA29" s="121">
        <f t="shared" si="27"/>
        <v>-561.82560039999998</v>
      </c>
      <c r="AB29" s="226">
        <f t="shared" si="21"/>
        <v>-1.2137918277521852E-2</v>
      </c>
      <c r="AC29" s="226">
        <f t="shared" si="28"/>
        <v>1.2137918277521852E-2</v>
      </c>
      <c r="AD29" s="277">
        <v>1.2552170129341433E-2</v>
      </c>
      <c r="AE29" s="119">
        <v>4.3959999999999999</v>
      </c>
      <c r="AF29" s="119">
        <f t="shared" si="17"/>
        <v>21.092346153846151</v>
      </c>
      <c r="AG29" s="124">
        <f t="shared" si="18"/>
        <v>1.5031351606300002E-2</v>
      </c>
      <c r="AH29" s="119">
        <f t="shared" si="4"/>
        <v>543.34559999999999</v>
      </c>
      <c r="AI29" s="58">
        <v>453</v>
      </c>
      <c r="AJ29" s="126">
        <f t="shared" si="29"/>
        <v>996.34559999999999</v>
      </c>
      <c r="AK29" s="119">
        <v>1.8102020291680673E-2</v>
      </c>
      <c r="AL29" s="58">
        <f t="shared" si="30"/>
        <v>55040.574695295232</v>
      </c>
      <c r="AM29" s="127">
        <f t="shared" si="22"/>
        <v>2.0440011168898944E-2</v>
      </c>
      <c r="AN29" s="58">
        <f t="shared" si="5"/>
        <v>1.8102020291680672</v>
      </c>
      <c r="AO29" s="58"/>
      <c r="AP29" s="119">
        <f t="shared" si="6"/>
        <v>1124.3456000000001</v>
      </c>
      <c r="AQ29" s="58"/>
      <c r="AR29" s="119">
        <v>-693</v>
      </c>
      <c r="AS29" s="119">
        <v>142</v>
      </c>
      <c r="AT29" s="122">
        <v>4374.3</v>
      </c>
      <c r="AU29" s="124"/>
      <c r="AV29" s="145">
        <f t="shared" si="7"/>
        <v>9.450423028705375E-2</v>
      </c>
      <c r="AW29" s="119">
        <f t="shared" si="23"/>
        <v>1.2258669631175181E-2</v>
      </c>
      <c r="AX29" s="119">
        <v>5.9429999999999996</v>
      </c>
      <c r="AY29" s="124"/>
      <c r="AZ29" s="119">
        <v>2774</v>
      </c>
      <c r="BA29" s="119">
        <f t="shared" si="19"/>
        <v>1.0421247735842041</v>
      </c>
      <c r="BB29" s="119">
        <f t="shared" si="20"/>
        <v>1.0504422277277199</v>
      </c>
      <c r="BC29" s="119">
        <v>1.0130861504907278</v>
      </c>
      <c r="BD29" s="119">
        <f t="shared" si="31"/>
        <v>7.1143177875160404E-3</v>
      </c>
      <c r="BE29" s="119">
        <f t="shared" si="24"/>
        <v>4.7699536864879488E-2</v>
      </c>
      <c r="BF29" s="119">
        <f t="shared" si="32"/>
        <v>4.1171995812777709E-2</v>
      </c>
      <c r="BG29" s="119">
        <f t="shared" si="25"/>
        <v>-137.40953888096357</v>
      </c>
      <c r="BH29" s="124">
        <f t="shared" si="26"/>
        <v>-4.9304270676962083E-3</v>
      </c>
      <c r="BI29" s="58">
        <v>1776.3000000000002</v>
      </c>
      <c r="BJ29" s="58">
        <v>1831</v>
      </c>
      <c r="BK29" s="58">
        <v>3607.3</v>
      </c>
      <c r="BL29" s="124">
        <f t="shared" si="8"/>
        <v>3.8375937694921154E-2</v>
      </c>
      <c r="BM29" s="124">
        <f t="shared" si="9"/>
        <v>3.9557699667511471E-2</v>
      </c>
      <c r="BN29" s="124">
        <f t="shared" si="10"/>
        <v>7.7933637362432626E-2</v>
      </c>
    </row>
    <row r="30" spans="1:66" s="119" customFormat="1">
      <c r="A30" s="117">
        <v>1965</v>
      </c>
      <c r="B30" s="145">
        <v>3.9215686274509665E-2</v>
      </c>
      <c r="C30" s="119">
        <v>689.67180332026362</v>
      </c>
      <c r="D30" s="117">
        <v>506.15816940221515</v>
      </c>
      <c r="E30" s="117">
        <v>84.793900859002719</v>
      </c>
      <c r="F30" s="117">
        <v>41.984999999999999</v>
      </c>
      <c r="G30" s="119">
        <v>123.6</v>
      </c>
      <c r="H30" s="124">
        <f t="shared" si="11"/>
        <v>0</v>
      </c>
      <c r="I30" s="119">
        <v>50416.341077094468</v>
      </c>
      <c r="J30" s="117">
        <v>2858876.2974237306</v>
      </c>
      <c r="K30" s="59">
        <v>400.12969108805129</v>
      </c>
      <c r="L30" s="119">
        <v>0.21242484969939879</v>
      </c>
      <c r="M30" s="119">
        <f t="shared" si="0"/>
        <v>197.64636792452831</v>
      </c>
      <c r="N30" s="119">
        <f t="shared" si="12"/>
        <v>379283.38004716981</v>
      </c>
      <c r="O30" s="124">
        <f t="shared" si="13"/>
        <v>0.13266869237712736</v>
      </c>
      <c r="P30" s="119">
        <f t="shared" si="14"/>
        <v>1.7625511122813534E-2</v>
      </c>
      <c r="Q30" s="124">
        <f t="shared" si="15"/>
        <v>0.10492847927838704</v>
      </c>
      <c r="R30" s="119">
        <f t="shared" si="1"/>
        <v>5189.3459999999995</v>
      </c>
      <c r="S30" s="119">
        <f t="shared" si="2"/>
        <v>0.10292984157784632</v>
      </c>
      <c r="T30" s="119">
        <v>96.620546111391945</v>
      </c>
      <c r="V30" s="119">
        <v>294</v>
      </c>
      <c r="W30" s="119">
        <v>35</v>
      </c>
      <c r="X30" s="119">
        <v>1.5680000000000001</v>
      </c>
      <c r="Y30" s="58">
        <f t="shared" si="3"/>
        <v>0.1938048</v>
      </c>
      <c r="Z30" s="58">
        <f t="shared" si="16"/>
        <v>35.193804800000002</v>
      </c>
      <c r="AA30" s="121">
        <f t="shared" si="27"/>
        <v>329.19380480000001</v>
      </c>
      <c r="AB30" s="226">
        <f t="shared" si="21"/>
        <v>6.5295060642463366E-3</v>
      </c>
      <c r="AC30" s="226">
        <f t="shared" si="28"/>
        <v>-6.5295060642463366E-3</v>
      </c>
      <c r="AD30" s="277">
        <v>-5.831442617988244E-3</v>
      </c>
      <c r="AE30" s="119">
        <v>5.19</v>
      </c>
      <c r="AF30" s="119">
        <f t="shared" si="17"/>
        <v>24.432169811320758</v>
      </c>
      <c r="AG30" s="124">
        <f t="shared" si="18"/>
        <v>1.6399916956943938E-2</v>
      </c>
      <c r="AH30" s="119">
        <f t="shared" si="4"/>
        <v>641.48400000000004</v>
      </c>
      <c r="AI30" s="58">
        <v>601</v>
      </c>
      <c r="AJ30" s="126">
        <f t="shared" si="29"/>
        <v>1242.4839999999999</v>
      </c>
      <c r="AK30" s="119">
        <v>1.8797613469513863E-2</v>
      </c>
      <c r="AL30" s="58">
        <f t="shared" si="30"/>
        <v>66097.965149409603</v>
      </c>
      <c r="AM30" s="127">
        <f t="shared" si="22"/>
        <v>2.3120260645405896E-2</v>
      </c>
      <c r="AN30" s="58">
        <f t="shared" si="5"/>
        <v>1.8797613469513863</v>
      </c>
      <c r="AO30" s="58"/>
      <c r="AP30" s="119">
        <f t="shared" si="6"/>
        <v>347.48400000000004</v>
      </c>
      <c r="AQ30" s="58"/>
      <c r="AR30" s="119">
        <v>282</v>
      </c>
      <c r="AS30" s="119">
        <v>23</v>
      </c>
      <c r="AT30" s="122">
        <v>5048.6000000000004</v>
      </c>
      <c r="AU30" s="124"/>
      <c r="AV30" s="145">
        <f t="shared" si="7"/>
        <v>0.1001381673509369</v>
      </c>
      <c r="AW30" s="119">
        <f t="shared" si="23"/>
        <v>5.6339370638831543E-3</v>
      </c>
      <c r="AX30" s="119">
        <v>11.443</v>
      </c>
      <c r="AY30" s="124"/>
      <c r="AZ30" s="119">
        <v>3139</v>
      </c>
      <c r="BA30" s="119">
        <f t="shared" si="19"/>
        <v>1.0616797475923969</v>
      </c>
      <c r="BB30" s="119">
        <f t="shared" si="20"/>
        <v>1.0392156862745097</v>
      </c>
      <c r="BC30" s="119">
        <v>1.0166846070990287</v>
      </c>
      <c r="BD30" s="119">
        <f t="shared" si="31"/>
        <v>8.8493676752784949E-3</v>
      </c>
      <c r="BE30" s="119">
        <f t="shared" si="24"/>
        <v>4.6604250260068356E-2</v>
      </c>
      <c r="BF30" s="119">
        <f t="shared" si="32"/>
        <v>4.419105614686706E-2</v>
      </c>
      <c r="BG30" s="119">
        <f t="shared" si="25"/>
        <v>-154.29747851974412</v>
      </c>
      <c r="BH30" s="124">
        <f t="shared" si="26"/>
        <v>-5.3076431004534675E-3</v>
      </c>
      <c r="BI30" s="58">
        <v>1929</v>
      </c>
      <c r="BJ30" s="58">
        <v>2410</v>
      </c>
      <c r="BK30" s="58">
        <v>4339</v>
      </c>
      <c r="BL30" s="124">
        <f t="shared" si="8"/>
        <v>3.8261404115984089E-2</v>
      </c>
      <c r="BM30" s="124">
        <f t="shared" si="9"/>
        <v>4.7801961596434246E-2</v>
      </c>
      <c r="BN30" s="124">
        <f t="shared" si="10"/>
        <v>8.6063365712418335E-2</v>
      </c>
    </row>
    <row r="31" spans="1:66" s="119" customFormat="1">
      <c r="A31" s="117">
        <v>1966</v>
      </c>
      <c r="B31" s="145">
        <v>1.3207547169811429E-2</v>
      </c>
      <c r="C31" s="119">
        <v>684.90381898537589</v>
      </c>
      <c r="D31" s="117">
        <v>492.39800728490127</v>
      </c>
      <c r="E31" s="117">
        <v>82.488736400712313</v>
      </c>
      <c r="F31" s="117">
        <v>52.198999999999998</v>
      </c>
      <c r="G31" s="119">
        <v>123.87</v>
      </c>
      <c r="H31" s="124">
        <f t="shared" si="11"/>
        <v>2.1844660194174637E-3</v>
      </c>
      <c r="I31" s="119">
        <v>53134.255667617959</v>
      </c>
      <c r="J31" s="117">
        <v>2915810.9141769381</v>
      </c>
      <c r="K31" s="59">
        <v>421.70044180649177</v>
      </c>
      <c r="L31" s="119">
        <v>0.21977287909151638</v>
      </c>
      <c r="M31" s="119">
        <f t="shared" si="0"/>
        <v>237.51338297872337</v>
      </c>
      <c r="N31" s="119">
        <f t="shared" si="12"/>
        <v>455788.18193617015</v>
      </c>
      <c r="O31" s="124">
        <f t="shared" si="13"/>
        <v>0.15631609708300581</v>
      </c>
      <c r="P31" s="119">
        <f t="shared" si="14"/>
        <v>2.364740470587845E-2</v>
      </c>
      <c r="Q31" s="124">
        <f t="shared" si="15"/>
        <v>0.12378218001477188</v>
      </c>
      <c r="R31" s="119">
        <f t="shared" si="1"/>
        <v>6465.8901299999998</v>
      </c>
      <c r="S31" s="119">
        <f t="shared" si="2"/>
        <v>0.12168967173356979</v>
      </c>
      <c r="T31" s="119">
        <v>98.34182127045807</v>
      </c>
      <c r="V31" s="119">
        <v>-921</v>
      </c>
      <c r="W31" s="119">
        <v>41</v>
      </c>
      <c r="X31" s="119">
        <v>1.5209999999999999</v>
      </c>
      <c r="Y31" s="58">
        <f t="shared" si="3"/>
        <v>0.18840627000000001</v>
      </c>
      <c r="Z31" s="58">
        <f t="shared" si="16"/>
        <v>41.188406270000002</v>
      </c>
      <c r="AA31" s="121">
        <f t="shared" si="27"/>
        <v>-879.81159373000003</v>
      </c>
      <c r="AB31" s="226">
        <f t="shared" si="21"/>
        <v>-1.6558274557070547E-2</v>
      </c>
      <c r="AC31" s="226">
        <f t="shared" si="28"/>
        <v>1.6558274557070547E-2</v>
      </c>
      <c r="AD31" s="277">
        <v>1.7333450679375799E-2</v>
      </c>
      <c r="AE31" s="119">
        <v>3.0019999999999998</v>
      </c>
      <c r="AF31" s="119">
        <f t="shared" si="17"/>
        <v>13.659556231003037</v>
      </c>
      <c r="AG31" s="124">
        <f t="shared" si="18"/>
        <v>8.9898450821506819E-3</v>
      </c>
      <c r="AH31" s="119">
        <f t="shared" si="4"/>
        <v>371.85773999999998</v>
      </c>
      <c r="AI31" s="58">
        <v>659</v>
      </c>
      <c r="AJ31" s="126">
        <f t="shared" si="29"/>
        <v>1030.8577399999999</v>
      </c>
      <c r="AK31" s="119">
        <v>1.9340809877366243E-2</v>
      </c>
      <c r="AL31" s="58">
        <f t="shared" si="30"/>
        <v>53299.616021062822</v>
      </c>
      <c r="AM31" s="127">
        <f t="shared" si="22"/>
        <v>1.8279517290341166E-2</v>
      </c>
      <c r="AN31" s="58">
        <f t="shared" si="5"/>
        <v>1.9340809877366243</v>
      </c>
      <c r="AO31" s="58"/>
      <c r="AP31" s="119">
        <f t="shared" si="6"/>
        <v>1292.8577400000001</v>
      </c>
      <c r="AQ31" s="58"/>
      <c r="AR31" s="119">
        <v>-25</v>
      </c>
      <c r="AS31" s="119">
        <v>-1007</v>
      </c>
      <c r="AT31" s="122">
        <v>5238.6000000000004</v>
      </c>
      <c r="AU31" s="124"/>
      <c r="AV31" s="145">
        <f t="shared" si="7"/>
        <v>9.8591764092267178E-2</v>
      </c>
      <c r="AW31" s="119">
        <f t="shared" si="23"/>
        <v>-1.5464032586697263E-3</v>
      </c>
      <c r="AX31" s="119">
        <v>11.443</v>
      </c>
      <c r="AY31" s="124"/>
      <c r="AZ31" s="119">
        <v>3155</v>
      </c>
      <c r="BA31" s="119">
        <f t="shared" si="19"/>
        <v>1.0199150333312827</v>
      </c>
      <c r="BB31" s="119">
        <f t="shared" si="20"/>
        <v>1.0132075471698114</v>
      </c>
      <c r="BC31" s="119">
        <v>1.0299100052948482</v>
      </c>
      <c r="BD31" s="119">
        <f t="shared" si="31"/>
        <v>3.2351657460736754E-3</v>
      </c>
      <c r="BE31" s="119">
        <f t="shared" si="24"/>
        <v>3.6227224008574491E-2</v>
      </c>
      <c r="BF31" s="119">
        <f t="shared" si="32"/>
        <v>4.4367223890748056E-2</v>
      </c>
      <c r="BG31" s="119">
        <f t="shared" si="25"/>
        <v>-188.87734726762758</v>
      </c>
      <c r="BH31" s="124">
        <f t="shared" si="26"/>
        <v>-6.4128979349216235E-3</v>
      </c>
      <c r="BI31" s="58">
        <v>2043.8000000000002</v>
      </c>
      <c r="BJ31" s="58">
        <v>2587</v>
      </c>
      <c r="BK31" s="58">
        <v>4630.8</v>
      </c>
      <c r="BL31" s="124">
        <f t="shared" si="8"/>
        <v>3.846482790283199E-2</v>
      </c>
      <c r="BM31" s="124">
        <f t="shared" si="9"/>
        <v>4.8687987956075131E-2</v>
      </c>
      <c r="BN31" s="124">
        <f t="shared" si="10"/>
        <v>8.7152815858907121E-2</v>
      </c>
    </row>
    <row r="32" spans="1:66" s="119" customFormat="1">
      <c r="A32" s="117">
        <v>1967</v>
      </c>
      <c r="B32" s="145">
        <v>5.5865921787707773E-3</v>
      </c>
      <c r="C32" s="119">
        <v>727.84704929273096</v>
      </c>
      <c r="D32" s="117">
        <v>512.58954426481057</v>
      </c>
      <c r="E32" s="117">
        <v>85.871313801146982</v>
      </c>
      <c r="F32" s="117">
        <v>78.063000000000002</v>
      </c>
      <c r="G32" s="119">
        <v>123.87</v>
      </c>
      <c r="H32" s="124">
        <f t="shared" si="11"/>
        <v>0</v>
      </c>
      <c r="I32" s="119">
        <v>56892.039691923026</v>
      </c>
      <c r="J32" s="117">
        <v>3182618.3198043886</v>
      </c>
      <c r="K32" s="59">
        <v>451.52412453907164</v>
      </c>
      <c r="L32" s="119">
        <v>0.22645290581162322</v>
      </c>
      <c r="M32" s="119">
        <f t="shared" si="0"/>
        <v>344.72068141592928</v>
      </c>
      <c r="N32" s="119">
        <f t="shared" si="12"/>
        <v>661518.98763716826</v>
      </c>
      <c r="O32" s="124">
        <f t="shared" si="13"/>
        <v>0.20785369817070204</v>
      </c>
      <c r="P32" s="119">
        <f t="shared" si="14"/>
        <v>5.1537601087696228E-2</v>
      </c>
      <c r="Q32" s="124">
        <f t="shared" si="15"/>
        <v>0.17288777223075041</v>
      </c>
      <c r="R32" s="119">
        <f t="shared" si="1"/>
        <v>9669.66381</v>
      </c>
      <c r="S32" s="119">
        <f t="shared" si="2"/>
        <v>0.16996514560494486</v>
      </c>
      <c r="T32" s="119">
        <v>98.999684507704202</v>
      </c>
      <c r="V32" s="119">
        <v>-2648</v>
      </c>
      <c r="W32" s="119">
        <v>47</v>
      </c>
      <c r="X32" s="119">
        <v>2.3660000000000001</v>
      </c>
      <c r="Y32" s="58">
        <f t="shared" si="3"/>
        <v>0.29307642000000006</v>
      </c>
      <c r="Z32" s="58">
        <f t="shared" si="16"/>
        <v>47.293076419999998</v>
      </c>
      <c r="AA32" s="121">
        <f t="shared" si="27"/>
        <v>-2600.70692358</v>
      </c>
      <c r="AB32" s="226">
        <f t="shared" si="21"/>
        <v>-4.5713019565885291E-2</v>
      </c>
      <c r="AC32" s="226">
        <f t="shared" si="28"/>
        <v>4.5713019565885291E-2</v>
      </c>
      <c r="AD32" s="277">
        <v>4.6544297134348253E-2</v>
      </c>
      <c r="AE32" s="119">
        <v>4.46</v>
      </c>
      <c r="AF32" s="119">
        <f t="shared" si="17"/>
        <v>19.695044247787614</v>
      </c>
      <c r="AG32" s="124">
        <f t="shared" si="18"/>
        <v>1.187537621973702E-2</v>
      </c>
      <c r="AH32" s="119">
        <f t="shared" si="4"/>
        <v>552.46019999999999</v>
      </c>
      <c r="AI32" s="58">
        <v>724</v>
      </c>
      <c r="AJ32" s="126">
        <f t="shared" si="29"/>
        <v>1276.4602</v>
      </c>
      <c r="AK32" s="119">
        <v>1.960486368673893E-2</v>
      </c>
      <c r="AL32" s="58">
        <f t="shared" si="30"/>
        <v>65109.363696490269</v>
      </c>
      <c r="AM32" s="127">
        <f t="shared" si="22"/>
        <v>2.0457798313839922E-2</v>
      </c>
      <c r="AN32" s="58">
        <f t="shared" si="5"/>
        <v>1.9604863686738929</v>
      </c>
      <c r="AO32" s="58"/>
      <c r="AP32" s="119">
        <f t="shared" si="6"/>
        <v>3200.4602</v>
      </c>
      <c r="AQ32" s="58"/>
      <c r="AR32" s="119">
        <v>-511</v>
      </c>
      <c r="AS32" s="119">
        <v>-2181</v>
      </c>
      <c r="AT32" s="122">
        <v>5787</v>
      </c>
      <c r="AU32" s="124"/>
      <c r="AV32" s="145">
        <f t="shared" si="7"/>
        <v>0.10171897564821501</v>
      </c>
      <c r="AW32" s="119">
        <f t="shared" si="23"/>
        <v>3.1272115559478342E-3</v>
      </c>
      <c r="AX32" s="119">
        <v>12.291</v>
      </c>
      <c r="AY32" s="124"/>
      <c r="AZ32" s="119">
        <v>3236</v>
      </c>
      <c r="BA32" s="119">
        <f t="shared" si="19"/>
        <v>1.091503672042041</v>
      </c>
      <c r="BB32" s="119">
        <f t="shared" si="20"/>
        <v>1.0055865921787708</v>
      </c>
      <c r="BC32" s="119">
        <v>1.0277563608336651</v>
      </c>
      <c r="BD32" s="119">
        <f t="shared" si="31"/>
        <v>8.7670254488262708E-3</v>
      </c>
      <c r="BE32" s="119">
        <f t="shared" si="24"/>
        <v>4.5326538822582814E-2</v>
      </c>
      <c r="BF32" s="119">
        <f t="shared" si="32"/>
        <v>3.2293839469594673E-2</v>
      </c>
      <c r="BG32" s="119">
        <f t="shared" si="25"/>
        <v>-229.84316391692812</v>
      </c>
      <c r="BH32" s="124">
        <f t="shared" si="26"/>
        <v>-7.1645826302667017E-3</v>
      </c>
      <c r="BI32" s="58">
        <v>2453.5</v>
      </c>
      <c r="BJ32" s="58">
        <v>2546.4</v>
      </c>
      <c r="BK32" s="58">
        <v>4999.8999999999996</v>
      </c>
      <c r="BL32" s="124">
        <f t="shared" si="8"/>
        <v>4.3125541170363837E-2</v>
      </c>
      <c r="BM32" s="124">
        <f t="shared" si="9"/>
        <v>4.4758458543392901E-2</v>
      </c>
      <c r="BN32" s="124">
        <f t="shared" si="10"/>
        <v>8.7883999713756725E-2</v>
      </c>
    </row>
    <row r="33" spans="1:66" s="119" customFormat="1">
      <c r="A33" s="117">
        <v>1968</v>
      </c>
      <c r="B33" s="145">
        <v>2.6851851851851904E-2</v>
      </c>
      <c r="C33" s="119">
        <v>740.84168142886017</v>
      </c>
      <c r="D33" s="117">
        <v>511.09066062566939</v>
      </c>
      <c r="E33" s="117">
        <v>85.620214049370531</v>
      </c>
      <c r="F33" s="117">
        <v>100.02</v>
      </c>
      <c r="G33" s="119">
        <v>123.6</v>
      </c>
      <c r="H33" s="124">
        <f t="shared" si="11"/>
        <v>-2.1797045289416728E-3</v>
      </c>
      <c r="I33" s="119">
        <v>60103.576598544991</v>
      </c>
      <c r="J33" s="117">
        <v>3326697.8012297112</v>
      </c>
      <c r="K33" s="59">
        <v>477.01251268686502</v>
      </c>
      <c r="L33" s="119">
        <v>0.23714094856379425</v>
      </c>
      <c r="M33" s="119">
        <f t="shared" si="0"/>
        <v>421.77447887323945</v>
      </c>
      <c r="N33" s="119">
        <f t="shared" si="12"/>
        <v>809385.22495774645</v>
      </c>
      <c r="O33" s="124">
        <f t="shared" si="13"/>
        <v>0.24329989476608241</v>
      </c>
      <c r="P33" s="119">
        <f t="shared" si="14"/>
        <v>3.5446196595380369E-2</v>
      </c>
      <c r="Q33" s="124">
        <f t="shared" si="15"/>
        <v>0.20968003425448536</v>
      </c>
      <c r="R33" s="119">
        <f t="shared" si="1"/>
        <v>12362.472</v>
      </c>
      <c r="S33" s="119">
        <f t="shared" si="2"/>
        <v>0.20568612884011422</v>
      </c>
      <c r="T33" s="119">
        <v>99.207353154433861</v>
      </c>
      <c r="V33" s="119">
        <v>-2991</v>
      </c>
      <c r="W33" s="119">
        <v>46</v>
      </c>
      <c r="X33" s="119">
        <v>2.6040000000000001</v>
      </c>
      <c r="Y33" s="58">
        <f t="shared" si="3"/>
        <v>0.32185439999999998</v>
      </c>
      <c r="Z33" s="58">
        <f t="shared" si="16"/>
        <v>46.321854399999999</v>
      </c>
      <c r="AA33" s="121">
        <f t="shared" si="27"/>
        <v>-2944.6781455999999</v>
      </c>
      <c r="AB33" s="226">
        <f t="shared" si="21"/>
        <v>-4.8993392943462298E-2</v>
      </c>
      <c r="AC33" s="226">
        <f t="shared" si="28"/>
        <v>4.8993392943462298E-2</v>
      </c>
      <c r="AD33" s="277">
        <v>4.9764093407918875E-2</v>
      </c>
      <c r="AE33" s="119">
        <v>6.8019999999999996</v>
      </c>
      <c r="AF33" s="119">
        <f t="shared" si="17"/>
        <v>28.683363380281691</v>
      </c>
      <c r="AG33" s="124">
        <f t="shared" si="18"/>
        <v>1.6545949652058512E-2</v>
      </c>
      <c r="AH33" s="119">
        <f t="shared" si="4"/>
        <v>840.72719999999993</v>
      </c>
      <c r="AI33" s="58">
        <v>695</v>
      </c>
      <c r="AJ33" s="126">
        <f t="shared" si="29"/>
        <v>1535.7271999999998</v>
      </c>
      <c r="AK33" s="119">
        <v>1.974368054652343E-2</v>
      </c>
      <c r="AL33" s="58">
        <f t="shared" si="30"/>
        <v>77783.227720953917</v>
      </c>
      <c r="AM33" s="127">
        <f t="shared" si="22"/>
        <v>2.3381512950229926E-2</v>
      </c>
      <c r="AN33" s="58">
        <f t="shared" si="5"/>
        <v>1.974368054652343</v>
      </c>
      <c r="AO33" s="58"/>
      <c r="AP33" s="119">
        <f t="shared" si="6"/>
        <v>3831.7271999999998</v>
      </c>
      <c r="AQ33" s="58"/>
      <c r="AR33" s="119">
        <v>-1360</v>
      </c>
      <c r="AS33" s="119">
        <v>-1425</v>
      </c>
      <c r="AT33" s="122">
        <v>6476</v>
      </c>
      <c r="AU33" s="124"/>
      <c r="AV33" s="145">
        <f t="shared" si="7"/>
        <v>0.10774733163145525</v>
      </c>
      <c r="AW33" s="119">
        <f t="shared" si="23"/>
        <v>6.0283559832402384E-3</v>
      </c>
      <c r="AX33" s="119">
        <v>12.26</v>
      </c>
      <c r="AY33" s="124"/>
      <c r="AZ33" s="119">
        <v>3547</v>
      </c>
      <c r="BA33" s="119">
        <f t="shared" si="19"/>
        <v>1.0452707384133257</v>
      </c>
      <c r="BB33" s="119">
        <f t="shared" si="20"/>
        <v>1.0268518518518519</v>
      </c>
      <c r="BC33" s="119">
        <v>1.04217721096539</v>
      </c>
      <c r="BD33" s="119">
        <f t="shared" si="31"/>
        <v>6.9501727944649636E-3</v>
      </c>
      <c r="BE33" s="119">
        <f t="shared" si="24"/>
        <v>3.3357672649014257E-2</v>
      </c>
      <c r="BF33" s="119">
        <f t="shared" si="32"/>
        <v>4.1608512688264231E-2</v>
      </c>
      <c r="BG33" s="119">
        <f t="shared" si="25"/>
        <v>-330.37736656932748</v>
      </c>
      <c r="BH33" s="124">
        <f t="shared" si="26"/>
        <v>-1.0240663567365976E-2</v>
      </c>
      <c r="BI33" s="58">
        <v>2809</v>
      </c>
      <c r="BJ33" s="58">
        <v>2052.1</v>
      </c>
      <c r="BK33" s="58">
        <v>4861.1000000000004</v>
      </c>
      <c r="BL33" s="124">
        <f t="shared" si="8"/>
        <v>4.6735987423217697E-2</v>
      </c>
      <c r="BM33" s="124">
        <f t="shared" si="9"/>
        <v>3.4142726874754371E-2</v>
      </c>
      <c r="BN33" s="124">
        <f t="shared" si="10"/>
        <v>8.0878714297972068E-2</v>
      </c>
    </row>
    <row r="34" spans="1:66" s="119" customFormat="1">
      <c r="A34" s="117">
        <v>1969</v>
      </c>
      <c r="B34" s="145">
        <v>-2.7051397655546428E-3</v>
      </c>
      <c r="C34" s="119">
        <v>755.61819572167894</v>
      </c>
      <c r="D34" s="117">
        <v>510.64356375103807</v>
      </c>
      <c r="E34" s="117">
        <v>85.545314363158553</v>
      </c>
      <c r="F34" s="117">
        <v>121.334</v>
      </c>
      <c r="G34" s="119">
        <v>123.6</v>
      </c>
      <c r="H34" s="124">
        <f t="shared" si="11"/>
        <v>0</v>
      </c>
      <c r="I34" s="119">
        <v>64603.847218767427</v>
      </c>
      <c r="J34" s="117">
        <v>3483090.9017626471</v>
      </c>
      <c r="K34" s="59">
        <v>512.72894618069381</v>
      </c>
      <c r="L34" s="119">
        <v>0.25183700734802938</v>
      </c>
      <c r="M34" s="119">
        <f t="shared" si="0"/>
        <v>481.79575066312998</v>
      </c>
      <c r="N34" s="119">
        <f t="shared" si="12"/>
        <v>924566.0455225464</v>
      </c>
      <c r="O34" s="124">
        <f t="shared" si="13"/>
        <v>0.26544413327101574</v>
      </c>
      <c r="P34" s="119">
        <f t="shared" si="14"/>
        <v>2.2144238504933328E-2</v>
      </c>
      <c r="Q34" s="124">
        <f t="shared" si="15"/>
        <v>0.2366435538773736</v>
      </c>
      <c r="R34" s="119">
        <f t="shared" si="1"/>
        <v>14996.8824</v>
      </c>
      <c r="S34" s="119">
        <f t="shared" si="2"/>
        <v>0.23213605761304265</v>
      </c>
      <c r="T34" s="119">
        <v>103.11721207312409</v>
      </c>
      <c r="V34" s="119">
        <v>-790.9</v>
      </c>
      <c r="W34" s="119">
        <v>58.1</v>
      </c>
      <c r="X34" s="119">
        <v>3.59</v>
      </c>
      <c r="Y34" s="58">
        <f t="shared" si="3"/>
        <v>0.44372400000000001</v>
      </c>
      <c r="Z34" s="58">
        <f t="shared" si="16"/>
        <v>58.543724000000005</v>
      </c>
      <c r="AA34" s="121">
        <f t="shared" si="27"/>
        <v>-732.35627599999998</v>
      </c>
      <c r="AB34" s="226">
        <f t="shared" si="21"/>
        <v>-1.1336109342219644E-2</v>
      </c>
      <c r="AC34" s="226">
        <f t="shared" si="28"/>
        <v>1.1336109342219644E-2</v>
      </c>
      <c r="AD34" s="277">
        <v>1.2242304971742356E-2</v>
      </c>
      <c r="AE34" s="119">
        <v>6.8879999999999999</v>
      </c>
      <c r="AF34" s="119">
        <f t="shared" si="17"/>
        <v>27.351023872679047</v>
      </c>
      <c r="AG34" s="124">
        <f t="shared" si="18"/>
        <v>1.5068976461426775E-2</v>
      </c>
      <c r="AH34" s="119">
        <f t="shared" si="4"/>
        <v>851.35679999999991</v>
      </c>
      <c r="AI34" s="58">
        <v>746</v>
      </c>
      <c r="AJ34" s="126">
        <f t="shared" si="29"/>
        <v>1597.3568</v>
      </c>
      <c r="AK34" s="119">
        <v>2.0187290946269545E-2</v>
      </c>
      <c r="AL34" s="58">
        <f t="shared" si="30"/>
        <v>79126.852842787164</v>
      </c>
      <c r="AM34" s="127">
        <f t="shared" si="22"/>
        <v>2.2717423999110781E-2</v>
      </c>
      <c r="AN34" s="58">
        <f t="shared" si="5"/>
        <v>2.0187290946269547</v>
      </c>
      <c r="AO34" s="58"/>
      <c r="AP34" s="119">
        <f t="shared" si="6"/>
        <v>1642.2568000000001</v>
      </c>
      <c r="AQ34" s="58"/>
      <c r="AR34" s="119">
        <v>21.9</v>
      </c>
      <c r="AS34" s="119">
        <v>-636.9</v>
      </c>
      <c r="AT34" s="122">
        <v>6710.7999999999993</v>
      </c>
      <c r="AU34" s="124"/>
      <c r="AV34" s="145">
        <f t="shared" si="7"/>
        <v>0.10387616665111719</v>
      </c>
      <c r="AW34" s="119">
        <f t="shared" si="23"/>
        <v>-3.8711649803380571E-3</v>
      </c>
      <c r="AX34" s="119">
        <v>10.363</v>
      </c>
      <c r="AY34" s="124"/>
      <c r="AZ34" s="119">
        <v>3713</v>
      </c>
      <c r="BA34" s="119">
        <f t="shared" si="19"/>
        <v>1.0470115140831624</v>
      </c>
      <c r="BB34" s="119">
        <f t="shared" si="20"/>
        <v>0.99729486023444536</v>
      </c>
      <c r="BC34" s="119">
        <v>1.0541470047240464</v>
      </c>
      <c r="BD34" s="119">
        <f t="shared" si="31"/>
        <v>4.5587874943887382E-3</v>
      </c>
      <c r="BE34" s="119">
        <f t="shared" si="24"/>
        <v>3.589282143571286E-2</v>
      </c>
      <c r="BF34" s="119">
        <f t="shared" si="32"/>
        <v>3.0223385158559931E-2</v>
      </c>
      <c r="BG34" s="119">
        <f t="shared" si="25"/>
        <v>-409.02702634820264</v>
      </c>
      <c r="BH34" s="124">
        <f t="shared" si="26"/>
        <v>-1.225191498605528E-2</v>
      </c>
      <c r="BI34" s="58">
        <v>2732.3</v>
      </c>
      <c r="BJ34" s="58">
        <v>2730.9</v>
      </c>
      <c r="BK34" s="58">
        <v>5453.4</v>
      </c>
      <c r="BL34" s="124">
        <f t="shared" si="8"/>
        <v>4.2293146888723786E-2</v>
      </c>
      <c r="BM34" s="124">
        <f t="shared" si="9"/>
        <v>4.2271476352675683E-2</v>
      </c>
      <c r="BN34" s="124">
        <f t="shared" si="10"/>
        <v>8.4412929489062788E-2</v>
      </c>
    </row>
    <row r="35" spans="1:66" s="119" customFormat="1">
      <c r="A35" s="117">
        <v>1970</v>
      </c>
      <c r="B35" s="145">
        <v>2.2603978300180794E-2</v>
      </c>
      <c r="C35" s="119">
        <v>777.42259632739217</v>
      </c>
      <c r="D35" s="117">
        <v>514.65421400013565</v>
      </c>
      <c r="E35" s="117">
        <v>86.217196593181157</v>
      </c>
      <c r="F35" s="117">
        <v>146.977</v>
      </c>
      <c r="G35" s="119">
        <v>123.6</v>
      </c>
      <c r="H35" s="124">
        <f t="shared" si="11"/>
        <v>0</v>
      </c>
      <c r="I35" s="119">
        <v>69143.520389176221</v>
      </c>
      <c r="J35" s="117">
        <v>3676521.768305101</v>
      </c>
      <c r="K35" s="59">
        <v>548.75809832679533</v>
      </c>
      <c r="L35" s="119">
        <v>0.26586506346025385</v>
      </c>
      <c r="M35" s="119">
        <f t="shared" si="0"/>
        <v>552.82555025125623</v>
      </c>
      <c r="N35" s="119">
        <f t="shared" si="12"/>
        <v>1060872.2309321607</v>
      </c>
      <c r="O35" s="124">
        <f t="shared" si="13"/>
        <v>0.28855322987009796</v>
      </c>
      <c r="P35" s="119">
        <f t="shared" si="14"/>
        <v>2.3109096599082224E-2</v>
      </c>
      <c r="Q35" s="124">
        <f t="shared" si="15"/>
        <v>0.26783568287765397</v>
      </c>
      <c r="R35" s="119">
        <f t="shared" si="1"/>
        <v>18166.357199999999</v>
      </c>
      <c r="S35" s="119">
        <f t="shared" si="2"/>
        <v>0.26273405082284146</v>
      </c>
      <c r="T35" s="119">
        <v>104.3318188484933</v>
      </c>
      <c r="V35" s="119">
        <v>-454</v>
      </c>
      <c r="W35" s="119">
        <v>57</v>
      </c>
      <c r="X35" s="119">
        <v>4.306</v>
      </c>
      <c r="Y35" s="58">
        <f t="shared" si="3"/>
        <v>0.53222159999999996</v>
      </c>
      <c r="Z35" s="58">
        <f t="shared" si="16"/>
        <v>57.5322216</v>
      </c>
      <c r="AA35" s="121">
        <f t="shared" si="27"/>
        <v>-396.46777839999999</v>
      </c>
      <c r="AB35" s="226">
        <f t="shared" si="21"/>
        <v>-5.7339831146645424E-3</v>
      </c>
      <c r="AC35" s="226">
        <f t="shared" si="28"/>
        <v>5.7339831146645424E-3</v>
      </c>
      <c r="AD35" s="277">
        <v>6.5660527182395175E-3</v>
      </c>
      <c r="AE35" s="119">
        <v>7.7350000000000003</v>
      </c>
      <c r="AF35" s="119">
        <f t="shared" si="17"/>
        <v>29.093706030150756</v>
      </c>
      <c r="AG35" s="124">
        <f t="shared" si="18"/>
        <v>1.5185772148330744E-2</v>
      </c>
      <c r="AH35" s="119">
        <f t="shared" si="4"/>
        <v>956.04600000000005</v>
      </c>
      <c r="AI35" s="58">
        <v>599</v>
      </c>
      <c r="AJ35" s="126">
        <f t="shared" si="29"/>
        <v>1555.046</v>
      </c>
      <c r="AK35" s="119">
        <v>2.0013769871538922E-2</v>
      </c>
      <c r="AL35" s="58">
        <f t="shared" si="30"/>
        <v>77698.804871909306</v>
      </c>
      <c r="AM35" s="127">
        <f t="shared" si="22"/>
        <v>2.1133780722241972E-2</v>
      </c>
      <c r="AN35" s="58">
        <f t="shared" si="5"/>
        <v>2.001376987153892</v>
      </c>
      <c r="AO35" s="58"/>
      <c r="AP35" s="119">
        <f t="shared" si="6"/>
        <v>1410.046</v>
      </c>
      <c r="AQ35" s="58"/>
      <c r="AR35" s="119">
        <v>-82</v>
      </c>
      <c r="AS35" s="119">
        <v>-136</v>
      </c>
      <c r="AT35" s="122">
        <v>8207</v>
      </c>
      <c r="AU35" s="124"/>
      <c r="AV35" s="145">
        <f t="shared" si="7"/>
        <v>0.11869514241980554</v>
      </c>
      <c r="AW35" s="119">
        <f t="shared" si="23"/>
        <v>1.4818975768688347E-2</v>
      </c>
      <c r="AX35" s="119">
        <v>18.309999999999999</v>
      </c>
      <c r="AY35" s="124"/>
      <c r="AZ35" s="119">
        <v>4320</v>
      </c>
      <c r="BA35" s="119">
        <f t="shared" si="19"/>
        <v>1.0555342573587634</v>
      </c>
      <c r="BB35" s="119">
        <f t="shared" si="20"/>
        <v>1.0226039783001808</v>
      </c>
      <c r="BC35" s="119">
        <v>1.0589529590266882</v>
      </c>
      <c r="BD35" s="119">
        <f t="shared" si="31"/>
        <v>7.6404901472605048E-3</v>
      </c>
      <c r="BE35" s="119">
        <f t="shared" si="24"/>
        <v>3.5488815995516509E-2</v>
      </c>
      <c r="BF35" s="119">
        <f t="shared" si="32"/>
        <v>3.211135244106933E-2</v>
      </c>
      <c r="BG35" s="119">
        <f t="shared" si="25"/>
        <v>-466.32463750897665</v>
      </c>
      <c r="BH35" s="124">
        <f t="shared" si="26"/>
        <v>-1.2826390803952958E-2</v>
      </c>
      <c r="BI35" s="58">
        <v>2670.4</v>
      </c>
      <c r="BJ35" s="58">
        <v>2546.8000000000002</v>
      </c>
      <c r="BK35" s="58">
        <v>5380</v>
      </c>
      <c r="BL35" s="124">
        <f t="shared" si="8"/>
        <v>3.8621117133891644E-2</v>
      </c>
      <c r="BM35" s="124">
        <f t="shared" si="9"/>
        <v>3.6833530975357714E-2</v>
      </c>
      <c r="BN35" s="124">
        <f t="shared" si="10"/>
        <v>7.7809170978256834E-2</v>
      </c>
    </row>
    <row r="36" spans="1:66" s="119" customFormat="1">
      <c r="A36" s="117">
        <v>1971</v>
      </c>
      <c r="B36" s="145">
        <v>6.2776304155614637E-2</v>
      </c>
      <c r="C36" s="119">
        <v>800.48937048122309</v>
      </c>
      <c r="D36" s="117">
        <v>519.10697181126784</v>
      </c>
      <c r="E36" s="117">
        <v>86.963142677252478</v>
      </c>
      <c r="F36" s="117">
        <v>165.71299999999999</v>
      </c>
      <c r="G36" s="119">
        <v>123.6</v>
      </c>
      <c r="H36" s="124">
        <f t="shared" si="11"/>
        <v>0</v>
      </c>
      <c r="I36" s="119">
        <v>76739.957949324438</v>
      </c>
      <c r="J36" s="117">
        <v>3880133.1298964876</v>
      </c>
      <c r="K36" s="59">
        <v>609.04728531209878</v>
      </c>
      <c r="L36" s="119">
        <v>0.27454909819639278</v>
      </c>
      <c r="M36" s="119">
        <f t="shared" si="0"/>
        <v>603.58238686131381</v>
      </c>
      <c r="N36" s="119">
        <f t="shared" si="12"/>
        <v>1158274.6003868612</v>
      </c>
      <c r="O36" s="124">
        <f t="shared" si="13"/>
        <v>0.29851413897691731</v>
      </c>
      <c r="P36" s="119">
        <f t="shared" si="14"/>
        <v>9.9609091068193489E-3</v>
      </c>
      <c r="Q36" s="124">
        <f t="shared" si="15"/>
        <v>0.27208560648141206</v>
      </c>
      <c r="R36" s="119">
        <f t="shared" si="1"/>
        <v>20482.126799999998</v>
      </c>
      <c r="S36" s="119">
        <f t="shared" si="2"/>
        <v>0.26690302350081374</v>
      </c>
      <c r="T36" s="119">
        <v>101.1237691652388</v>
      </c>
      <c r="V36" s="119">
        <v>-1290</v>
      </c>
      <c r="W36" s="119">
        <v>59</v>
      </c>
      <c r="X36" s="119">
        <v>5.6429999999999998</v>
      </c>
      <c r="Y36" s="58">
        <f t="shared" si="3"/>
        <v>0.69747479999999995</v>
      </c>
      <c r="Z36" s="58">
        <f t="shared" si="16"/>
        <v>59.697474800000002</v>
      </c>
      <c r="AA36" s="121">
        <f t="shared" si="27"/>
        <v>-1230.3025252</v>
      </c>
      <c r="AB36" s="226">
        <f t="shared" si="21"/>
        <v>-1.6032097984891202E-2</v>
      </c>
      <c r="AC36" s="226">
        <f t="shared" si="28"/>
        <v>1.6032097984891202E-2</v>
      </c>
      <c r="AD36" s="277">
        <v>1.681001702987454E-2</v>
      </c>
      <c r="AE36" s="119">
        <v>7.8250000000000002</v>
      </c>
      <c r="AF36" s="119">
        <f t="shared" si="17"/>
        <v>28.501277372262773</v>
      </c>
      <c r="AG36" s="124">
        <f t="shared" si="18"/>
        <v>1.409589553924181E-2</v>
      </c>
      <c r="AH36" s="119">
        <f t="shared" si="4"/>
        <v>967.17</v>
      </c>
      <c r="AI36" s="58">
        <v>761</v>
      </c>
      <c r="AJ36" s="126">
        <f t="shared" si="29"/>
        <v>1728.17</v>
      </c>
      <c r="AK36" s="119">
        <v>2.1005103315869526E-2</v>
      </c>
      <c r="AL36" s="58">
        <f t="shared" si="30"/>
        <v>82273.815749068643</v>
      </c>
      <c r="AM36" s="127">
        <f t="shared" si="22"/>
        <v>2.12038641445438E-2</v>
      </c>
      <c r="AN36" s="58">
        <f t="shared" si="5"/>
        <v>2.1005103315869524</v>
      </c>
      <c r="AO36" s="58"/>
      <c r="AP36" s="119">
        <f t="shared" si="6"/>
        <v>2257.1699999999996</v>
      </c>
      <c r="AQ36" s="58"/>
      <c r="AR36" s="119">
        <v>-429</v>
      </c>
      <c r="AS36" s="119">
        <v>-815</v>
      </c>
      <c r="AT36" s="122">
        <v>9139</v>
      </c>
      <c r="AU36" s="124"/>
      <c r="AV36" s="145">
        <f t="shared" si="7"/>
        <v>0.11909050049304142</v>
      </c>
      <c r="AW36" s="119">
        <f t="shared" si="23"/>
        <v>3.9535807323587413E-4</v>
      </c>
      <c r="AX36" s="119">
        <v>21.210999999999999</v>
      </c>
      <c r="AY36" s="124"/>
      <c r="AZ36" s="119">
        <v>4796</v>
      </c>
      <c r="BA36" s="119">
        <f t="shared" si="19"/>
        <v>1.0553815193878895</v>
      </c>
      <c r="BB36" s="119">
        <f t="shared" si="20"/>
        <v>1.0627763041556146</v>
      </c>
      <c r="BC36" s="119">
        <v>1.0425592892442999</v>
      </c>
      <c r="BD36" s="119">
        <f t="shared" si="31"/>
        <v>1.2871769898893996E-2</v>
      </c>
      <c r="BE36" s="119">
        <f t="shared" si="24"/>
        <v>3.8393762289337788E-2</v>
      </c>
      <c r="BF36" s="119">
        <f t="shared" si="32"/>
        <v>3.2253827807616847E-2</v>
      </c>
      <c r="BG36" s="119">
        <f t="shared" si="25"/>
        <v>-534.99481014580113</v>
      </c>
      <c r="BH36" s="124">
        <f t="shared" si="26"/>
        <v>-1.3130851891202911E-2</v>
      </c>
      <c r="BI36" s="58">
        <v>3175</v>
      </c>
      <c r="BJ36" s="58">
        <v>2598</v>
      </c>
      <c r="BK36" s="58">
        <v>5754</v>
      </c>
      <c r="BL36" s="124">
        <f t="shared" si="8"/>
        <v>4.1373491527016797E-2</v>
      </c>
      <c r="BM36" s="124">
        <f t="shared" si="9"/>
        <v>3.3854592436910122E-2</v>
      </c>
      <c r="BN36" s="124">
        <f t="shared" si="10"/>
        <v>7.4980494565812489E-2</v>
      </c>
    </row>
    <row r="37" spans="1:66" s="119" customFormat="1">
      <c r="A37" s="117">
        <v>1972</v>
      </c>
      <c r="B37" s="145">
        <v>9.4841930116472462E-2</v>
      </c>
      <c r="C37" s="119">
        <v>833.40066150061784</v>
      </c>
      <c r="D37" s="117">
        <v>529.41720608415562</v>
      </c>
      <c r="E37" s="117">
        <v>88.6903596533231</v>
      </c>
      <c r="F37" s="117">
        <v>181.43600000000001</v>
      </c>
      <c r="G37" s="119">
        <v>123.6</v>
      </c>
      <c r="H37" s="124">
        <f t="shared" si="11"/>
        <v>0</v>
      </c>
      <c r="I37" s="119">
        <v>87858.757669864892</v>
      </c>
      <c r="J37" s="117">
        <v>4137436.3002019459</v>
      </c>
      <c r="K37" s="59">
        <v>697.29172753861019</v>
      </c>
      <c r="L37" s="119">
        <v>0.28390113560454244</v>
      </c>
      <c r="M37" s="119">
        <f t="shared" si="0"/>
        <v>639.08162823529403</v>
      </c>
      <c r="N37" s="119">
        <f t="shared" si="12"/>
        <v>1226397.6445835293</v>
      </c>
      <c r="O37" s="124">
        <f t="shared" si="13"/>
        <v>0.29641487036880049</v>
      </c>
      <c r="P37" s="119">
        <f t="shared" si="14"/>
        <v>-2.0992686081168221E-3</v>
      </c>
      <c r="Q37" s="124">
        <f t="shared" si="15"/>
        <v>0.26020099312013362</v>
      </c>
      <c r="R37" s="119">
        <f t="shared" si="1"/>
        <v>22425.489600000001</v>
      </c>
      <c r="S37" s="119">
        <f t="shared" si="2"/>
        <v>0.25524478372736914</v>
      </c>
      <c r="T37" s="119">
        <v>95.233547093541347</v>
      </c>
      <c r="V37" s="119">
        <v>-2351</v>
      </c>
      <c r="W37" s="119">
        <v>70</v>
      </c>
      <c r="X37" s="119">
        <v>7.0179999999999998</v>
      </c>
      <c r="Y37" s="58">
        <f t="shared" si="3"/>
        <v>0.86742479999999988</v>
      </c>
      <c r="Z37" s="58">
        <f t="shared" si="16"/>
        <v>70.867424799999995</v>
      </c>
      <c r="AA37" s="121">
        <f t="shared" si="27"/>
        <v>-2280.1325751999998</v>
      </c>
      <c r="AB37" s="226">
        <f t="shared" si="21"/>
        <v>-2.5952251496290775E-2</v>
      </c>
      <c r="AC37" s="226">
        <f t="shared" si="28"/>
        <v>2.5952251496290775E-2</v>
      </c>
      <c r="AD37" s="277">
        <v>2.6758857766166447E-2</v>
      </c>
      <c r="AE37" s="119">
        <v>10.464</v>
      </c>
      <c r="AF37" s="119">
        <f t="shared" si="17"/>
        <v>36.857901176470584</v>
      </c>
      <c r="AG37" s="124">
        <f t="shared" si="18"/>
        <v>1.7095202735615468E-2</v>
      </c>
      <c r="AH37" s="119">
        <f t="shared" si="4"/>
        <v>1293.3504</v>
      </c>
      <c r="AI37" s="58">
        <v>988</v>
      </c>
      <c r="AJ37" s="126">
        <f t="shared" si="29"/>
        <v>2281.3504000000003</v>
      </c>
      <c r="AK37" s="119">
        <v>2.2933450563745482E-2</v>
      </c>
      <c r="AL37" s="58">
        <f t="shared" si="30"/>
        <v>99476.97986654003</v>
      </c>
      <c r="AM37" s="127">
        <f t="shared" si="22"/>
        <v>2.4043144751662911E-2</v>
      </c>
      <c r="AN37" s="58">
        <f t="shared" si="5"/>
        <v>2.2933450563745481</v>
      </c>
      <c r="AO37" s="58"/>
      <c r="AP37" s="119">
        <f t="shared" si="6"/>
        <v>3644.3503999999998</v>
      </c>
      <c r="AQ37" s="58"/>
      <c r="AR37" s="119">
        <v>-968</v>
      </c>
      <c r="AS37" s="119">
        <v>-1410</v>
      </c>
      <c r="AT37" s="122">
        <v>11536</v>
      </c>
      <c r="AU37" s="124"/>
      <c r="AV37" s="145">
        <f t="shared" si="7"/>
        <v>0.13130165171862873</v>
      </c>
      <c r="AW37" s="119">
        <f t="shared" si="23"/>
        <v>1.2211151225587316E-2</v>
      </c>
      <c r="AX37" s="119">
        <v>31.523</v>
      </c>
      <c r="AY37" s="124"/>
      <c r="AZ37" s="119">
        <v>5593</v>
      </c>
      <c r="BA37" s="119">
        <f t="shared" si="19"/>
        <v>1.0663129747592766</v>
      </c>
      <c r="BB37" s="119">
        <f t="shared" si="20"/>
        <v>1.0948419301164725</v>
      </c>
      <c r="BC37" s="119">
        <v>1.0330561473460658</v>
      </c>
      <c r="BD37" s="119">
        <f t="shared" si="31"/>
        <v>1.7080909762012476E-2</v>
      </c>
      <c r="BE37" s="119">
        <f t="shared" si="24"/>
        <v>4.2350328580135536E-2</v>
      </c>
      <c r="BF37" s="119">
        <f t="shared" si="32"/>
        <v>3.4853953834366944E-2</v>
      </c>
      <c r="BG37" s="119">
        <f t="shared" si="25"/>
        <v>-582.54515421441261</v>
      </c>
      <c r="BH37" s="124">
        <f t="shared" si="26"/>
        <v>-1.2824401736375335E-2</v>
      </c>
      <c r="BI37" s="58">
        <v>4209.1000000000004</v>
      </c>
      <c r="BJ37" s="58">
        <v>2892.2</v>
      </c>
      <c r="BK37" s="58">
        <v>7061.1</v>
      </c>
      <c r="BL37" s="124">
        <f t="shared" si="8"/>
        <v>4.7907574744181711E-2</v>
      </c>
      <c r="BM37" s="124">
        <f t="shared" si="9"/>
        <v>3.2918744547557034E-2</v>
      </c>
      <c r="BN37" s="124">
        <f t="shared" si="10"/>
        <v>8.0368766725937013E-2</v>
      </c>
    </row>
    <row r="38" spans="1:66" s="119" customFormat="1">
      <c r="A38" s="117">
        <v>1973</v>
      </c>
      <c r="B38" s="145">
        <v>0.14133738601823698</v>
      </c>
      <c r="C38" s="119">
        <v>873.28338386431324</v>
      </c>
      <c r="D38" s="117">
        <v>543.42839400493722</v>
      </c>
      <c r="E38" s="117">
        <v>91.037577087104211</v>
      </c>
      <c r="F38" s="117">
        <v>195.39500000000001</v>
      </c>
      <c r="G38" s="119">
        <v>123.6</v>
      </c>
      <c r="H38" s="124">
        <f t="shared" si="11"/>
        <v>0</v>
      </c>
      <c r="I38" s="119">
        <v>112058.98952764735</v>
      </c>
      <c r="J38" s="117">
        <v>4439585.5323656304</v>
      </c>
      <c r="K38" s="59">
        <v>889.35705974323298</v>
      </c>
      <c r="L38" s="119">
        <v>0.30861723446893791</v>
      </c>
      <c r="M38" s="119">
        <f t="shared" si="0"/>
        <v>633.1305519480519</v>
      </c>
      <c r="N38" s="119">
        <f t="shared" si="12"/>
        <v>1214977.5291883117</v>
      </c>
      <c r="O38" s="124">
        <f t="shared" si="13"/>
        <v>0.27366913427635026</v>
      </c>
      <c r="P38" s="119">
        <f t="shared" si="14"/>
        <v>-2.2745736092450231E-2</v>
      </c>
      <c r="Q38" s="124">
        <f t="shared" si="15"/>
        <v>0.21970365879415479</v>
      </c>
      <c r="R38" s="119">
        <f t="shared" si="1"/>
        <v>24150.822</v>
      </c>
      <c r="S38" s="119">
        <f t="shared" si="2"/>
        <v>0.21551882719807566</v>
      </c>
      <c r="T38" s="119">
        <v>91.083317556741292</v>
      </c>
      <c r="V38" s="119">
        <v>-1129</v>
      </c>
      <c r="W38" s="119">
        <v>84</v>
      </c>
      <c r="X38" s="119">
        <v>6.8959999999999999</v>
      </c>
      <c r="Y38" s="58">
        <f t="shared" si="3"/>
        <v>0.85234560000000004</v>
      </c>
      <c r="Z38" s="58">
        <f t="shared" si="16"/>
        <v>84.852345600000007</v>
      </c>
      <c r="AA38" s="121">
        <f t="shared" si="27"/>
        <v>-1044.1476544</v>
      </c>
      <c r="AB38" s="226">
        <f t="shared" si="21"/>
        <v>-9.3178392809118299E-3</v>
      </c>
      <c r="AC38" s="226">
        <f t="shared" si="28"/>
        <v>9.3178392809118299E-3</v>
      </c>
      <c r="AD38" s="277">
        <v>1.0075050692130787E-2</v>
      </c>
      <c r="AE38" s="119">
        <v>11.259</v>
      </c>
      <c r="AF38" s="119">
        <f t="shared" si="17"/>
        <v>36.48208441558441</v>
      </c>
      <c r="AG38" s="124">
        <f t="shared" si="18"/>
        <v>1.5769291859143924E-2</v>
      </c>
      <c r="AH38" s="119">
        <f t="shared" si="4"/>
        <v>1391.6124</v>
      </c>
      <c r="AI38" s="58">
        <v>1042</v>
      </c>
      <c r="AJ38" s="126">
        <f t="shared" si="29"/>
        <v>2433.6124</v>
      </c>
      <c r="AK38" s="119">
        <v>2.5877273318523249E-2</v>
      </c>
      <c r="AL38" s="58">
        <f t="shared" si="30"/>
        <v>94044.390614292133</v>
      </c>
      <c r="AM38" s="127">
        <f t="shared" si="22"/>
        <v>2.1183146473626027E-2</v>
      </c>
      <c r="AN38" s="58">
        <f t="shared" si="5"/>
        <v>2.5877273318523248</v>
      </c>
      <c r="AO38" s="58"/>
      <c r="AP38" s="119">
        <f t="shared" si="6"/>
        <v>2520.6123999999995</v>
      </c>
      <c r="AQ38" s="58"/>
      <c r="AR38" s="119">
        <v>136</v>
      </c>
      <c r="AS38" s="119">
        <v>-1611</v>
      </c>
      <c r="AT38" s="122">
        <v>14584</v>
      </c>
      <c r="AU38" s="124"/>
      <c r="AV38" s="145">
        <f t="shared" si="7"/>
        <v>0.13014573896725898</v>
      </c>
      <c r="AW38" s="119">
        <f t="shared" si="23"/>
        <v>-1.1559127513697531E-3</v>
      </c>
      <c r="AX38" s="119">
        <v>57.131999999999998</v>
      </c>
      <c r="AY38" s="124"/>
      <c r="AZ38" s="119">
        <v>7112</v>
      </c>
      <c r="BA38" s="119">
        <f t="shared" si="19"/>
        <v>1.0730281290732953</v>
      </c>
      <c r="BB38" s="119">
        <f t="shared" si="20"/>
        <v>1.141337386018237</v>
      </c>
      <c r="BC38" s="119">
        <v>1.0622006386371097</v>
      </c>
      <c r="BD38" s="119">
        <f t="shared" si="31"/>
        <v>2.4089246542964109E-2</v>
      </c>
      <c r="BE38" s="119">
        <f t="shared" si="24"/>
        <v>3.8007892590224648E-2</v>
      </c>
      <c r="BF38" s="119">
        <f t="shared" si="32"/>
        <v>3.7156869658251268E-2</v>
      </c>
      <c r="BG38" s="119">
        <f t="shared" si="25"/>
        <v>-615.33535547397219</v>
      </c>
      <c r="BH38" s="124">
        <f t="shared" si="26"/>
        <v>-1.1935953110858386E-2</v>
      </c>
      <c r="BI38" s="58">
        <v>4427.3</v>
      </c>
      <c r="BJ38" s="58">
        <v>2576</v>
      </c>
      <c r="BK38" s="58">
        <v>6915.3</v>
      </c>
      <c r="BL38" s="124">
        <f t="shared" si="8"/>
        <v>3.950865538465069E-2</v>
      </c>
      <c r="BM38" s="124">
        <f t="shared" si="9"/>
        <v>2.298789245609292E-2</v>
      </c>
      <c r="BN38" s="124">
        <f t="shared" si="10"/>
        <v>6.1711247166777707E-2</v>
      </c>
    </row>
    <row r="39" spans="1:66" s="119" customFormat="1">
      <c r="A39" s="117">
        <v>1974</v>
      </c>
      <c r="B39" s="145">
        <v>0.2197070572569908</v>
      </c>
      <c r="C39" s="119">
        <v>923.95747684910361</v>
      </c>
      <c r="D39" s="117">
        <v>563.22514113619229</v>
      </c>
      <c r="E39" s="117">
        <v>94.354017510383187</v>
      </c>
      <c r="F39" s="117">
        <v>225.84200000000001</v>
      </c>
      <c r="G39" s="119">
        <v>123.6</v>
      </c>
      <c r="H39" s="124">
        <f t="shared" si="11"/>
        <v>0</v>
      </c>
      <c r="I39" s="119">
        <v>151151.99149675915</v>
      </c>
      <c r="J39" s="117">
        <v>4811690.5231053187</v>
      </c>
      <c r="K39" s="59">
        <v>1199.6189801330092</v>
      </c>
      <c r="L39" s="119">
        <v>0.34669338677354705</v>
      </c>
      <c r="M39" s="119">
        <f t="shared" si="0"/>
        <v>651.41709826589602</v>
      </c>
      <c r="N39" s="119">
        <f t="shared" si="12"/>
        <v>1250069.4115722545</v>
      </c>
      <c r="O39" s="124">
        <f t="shared" si="13"/>
        <v>0.25979838178900538</v>
      </c>
      <c r="P39" s="119">
        <f t="shared" si="14"/>
        <v>-1.3870752487344873E-2</v>
      </c>
      <c r="Q39" s="124">
        <f t="shared" si="15"/>
        <v>0.18826144279157661</v>
      </c>
      <c r="R39" s="119">
        <f t="shared" si="1"/>
        <v>27914.071200000002</v>
      </c>
      <c r="S39" s="119">
        <f t="shared" si="2"/>
        <v>0.18467551054792758</v>
      </c>
      <c r="T39" s="119">
        <v>86.116756130719125</v>
      </c>
      <c r="V39" s="119">
        <v>-868</v>
      </c>
      <c r="W39" s="119">
        <v>79</v>
      </c>
      <c r="X39" s="119">
        <v>8.0449999999999999</v>
      </c>
      <c r="Y39" s="58">
        <f t="shared" si="3"/>
        <v>0.99436199999999997</v>
      </c>
      <c r="Z39" s="58">
        <f t="shared" si="16"/>
        <v>79.994361999999995</v>
      </c>
      <c r="AA39" s="121">
        <f t="shared" si="27"/>
        <v>-788.00563799999998</v>
      </c>
      <c r="AB39" s="226">
        <f t="shared" si="21"/>
        <v>-5.2133328194812149E-3</v>
      </c>
      <c r="AC39" s="226">
        <f t="shared" si="28"/>
        <v>5.2133328194812149E-3</v>
      </c>
      <c r="AD39" s="277">
        <v>5.7425640999153541E-3</v>
      </c>
      <c r="AE39" s="119">
        <v>13.553000000000001</v>
      </c>
      <c r="AF39" s="119">
        <f t="shared" si="17"/>
        <v>39.092179190751452</v>
      </c>
      <c r="AG39" s="124">
        <f t="shared" si="18"/>
        <v>1.559075578672873E-2</v>
      </c>
      <c r="AH39" s="119">
        <f t="shared" si="4"/>
        <v>1675.1508000000001</v>
      </c>
      <c r="AI39" s="58">
        <v>1185</v>
      </c>
      <c r="AJ39" s="126">
        <f t="shared" si="29"/>
        <v>2860.1508000000003</v>
      </c>
      <c r="AK39" s="119">
        <v>3.2395630212751859E-2</v>
      </c>
      <c r="AL39" s="58">
        <f t="shared" si="30"/>
        <v>88288.166682250929</v>
      </c>
      <c r="AM39" s="127">
        <f t="shared" si="22"/>
        <v>1.834867937958579E-2</v>
      </c>
      <c r="AN39" s="58">
        <f t="shared" si="5"/>
        <v>3.239563021275186</v>
      </c>
      <c r="AO39" s="58"/>
      <c r="AP39" s="119">
        <f t="shared" si="6"/>
        <v>2543.1507999999999</v>
      </c>
      <c r="AQ39" s="58"/>
      <c r="AR39" s="119">
        <v>1331</v>
      </c>
      <c r="AS39" s="119">
        <v>-1967</v>
      </c>
      <c r="AT39" s="122">
        <v>17279</v>
      </c>
      <c r="AU39" s="124"/>
      <c r="AV39" s="145">
        <f t="shared" si="7"/>
        <v>0.11431539756041176</v>
      </c>
      <c r="AW39" s="119">
        <f t="shared" si="23"/>
        <v>-1.583034140684722E-2</v>
      </c>
      <c r="AX39" s="119">
        <v>87.02</v>
      </c>
      <c r="AY39" s="124"/>
      <c r="AZ39" s="119">
        <v>8312</v>
      </c>
      <c r="BA39" s="119">
        <f t="shared" si="19"/>
        <v>1.083815254380607</v>
      </c>
      <c r="BB39" s="119">
        <f t="shared" si="20"/>
        <v>1.2197070572569908</v>
      </c>
      <c r="BC39" s="119">
        <v>1.1103526022425461</v>
      </c>
      <c r="BD39" s="119">
        <f t="shared" si="31"/>
        <v>3.1694959776108568E-2</v>
      </c>
      <c r="BE39" s="119">
        <f t="shared" si="24"/>
        <v>4.1173008521200642E-2</v>
      </c>
      <c r="BF39" s="119">
        <f t="shared" si="32"/>
        <v>3.1583308038079495E-2</v>
      </c>
      <c r="BG39" s="119">
        <f t="shared" si="25"/>
        <v>-613.13419469755729</v>
      </c>
      <c r="BH39" s="124">
        <f t="shared" si="26"/>
        <v>-1.1126416839702368E-2</v>
      </c>
      <c r="BI39" s="58">
        <v>3188.8</v>
      </c>
      <c r="BJ39" s="58">
        <v>3018.8</v>
      </c>
      <c r="BK39" s="58">
        <v>6150.8</v>
      </c>
      <c r="BL39" s="124">
        <f t="shared" si="8"/>
        <v>2.1096645624205164E-2</v>
      </c>
      <c r="BM39" s="124">
        <f t="shared" si="9"/>
        <v>1.9971949890350775E-2</v>
      </c>
      <c r="BN39" s="124">
        <f t="shared" si="10"/>
        <v>4.0692814822303414E-2</v>
      </c>
    </row>
    <row r="40" spans="1:66" s="119" customFormat="1">
      <c r="A40" s="117">
        <v>1975</v>
      </c>
      <c r="B40" s="145">
        <v>8.6790393013100431E-2</v>
      </c>
      <c r="C40" s="119">
        <v>962.99778561170149</v>
      </c>
      <c r="D40" s="117">
        <v>575.04026486273506</v>
      </c>
      <c r="E40" s="117">
        <v>96.333340359382191</v>
      </c>
      <c r="F40" s="117">
        <v>267.37400000000002</v>
      </c>
      <c r="G40" s="119">
        <v>123.6</v>
      </c>
      <c r="H40" s="124">
        <f t="shared" si="11"/>
        <v>0</v>
      </c>
      <c r="I40" s="119">
        <v>170338.06477592592</v>
      </c>
      <c r="J40" s="117">
        <v>5141408.956048863</v>
      </c>
      <c r="K40" s="59">
        <v>1351.889402983539</v>
      </c>
      <c r="L40" s="119">
        <v>0.37074148296593185</v>
      </c>
      <c r="M40" s="119">
        <f t="shared" si="0"/>
        <v>721.18716756756771</v>
      </c>
      <c r="N40" s="119">
        <f t="shared" si="12"/>
        <v>1383958.1745621625</v>
      </c>
      <c r="O40" s="124">
        <f t="shared" si="13"/>
        <v>0.26917877694477832</v>
      </c>
      <c r="P40" s="119">
        <f t="shared" si="14"/>
        <v>9.3803951557729359E-3</v>
      </c>
      <c r="Q40" s="124">
        <f t="shared" si="15"/>
        <v>0.19777801306077378</v>
      </c>
      <c r="R40" s="119">
        <f t="shared" si="1"/>
        <v>33047.426400000004</v>
      </c>
      <c r="S40" s="119">
        <f t="shared" si="2"/>
        <v>0.19401081281199711</v>
      </c>
      <c r="T40" s="119">
        <v>87.316732497889177</v>
      </c>
      <c r="V40" s="119">
        <v>-8779.9</v>
      </c>
      <c r="W40" s="119">
        <v>88</v>
      </c>
      <c r="X40" s="119">
        <v>9.827</v>
      </c>
      <c r="Y40" s="58">
        <f t="shared" si="3"/>
        <v>1.2146172</v>
      </c>
      <c r="Z40" s="58">
        <f t="shared" si="16"/>
        <v>89.214617200000006</v>
      </c>
      <c r="AA40" s="121">
        <f t="shared" si="27"/>
        <v>-8690.6853828000003</v>
      </c>
      <c r="AB40" s="226">
        <f t="shared" si="21"/>
        <v>-5.1020219081579381E-2</v>
      </c>
      <c r="AC40" s="226">
        <f t="shared" si="28"/>
        <v>5.1020219081579381E-2</v>
      </c>
      <c r="AD40" s="277">
        <v>5.1543969409008301E-2</v>
      </c>
      <c r="AE40" s="119">
        <v>15.412000000000001</v>
      </c>
      <c r="AF40" s="119">
        <f t="shared" si="17"/>
        <v>41.570745945945951</v>
      </c>
      <c r="AG40" s="124">
        <f t="shared" si="18"/>
        <v>1.5516031140922166E-2</v>
      </c>
      <c r="AH40" s="119">
        <f t="shared" si="4"/>
        <v>1904.9232</v>
      </c>
      <c r="AI40" s="58">
        <v>666.9</v>
      </c>
      <c r="AJ40" s="126">
        <f t="shared" si="29"/>
        <v>2571.8231999999998</v>
      </c>
      <c r="AK40" s="119">
        <v>3.4563889207429276E-2</v>
      </c>
      <c r="AL40" s="58">
        <f t="shared" si="30"/>
        <v>74407.807077659643</v>
      </c>
      <c r="AM40" s="127">
        <f t="shared" si="22"/>
        <v>1.4472259980431808E-2</v>
      </c>
      <c r="AN40" s="58">
        <f t="shared" si="5"/>
        <v>3.4563889207429277</v>
      </c>
      <c r="AO40" s="58"/>
      <c r="AP40" s="119">
        <f t="shared" si="6"/>
        <v>10684.823199999999</v>
      </c>
      <c r="AQ40" s="58"/>
      <c r="AR40" s="119">
        <v>-729.4</v>
      </c>
      <c r="AS40" s="119">
        <v>-8205.7000000000007</v>
      </c>
      <c r="AT40" s="122">
        <v>21045</v>
      </c>
      <c r="AU40" s="124"/>
      <c r="AV40" s="145">
        <f t="shared" si="7"/>
        <v>0.1235484272272554</v>
      </c>
      <c r="AW40" s="119">
        <f t="shared" si="23"/>
        <v>9.2330296668436396E-3</v>
      </c>
      <c r="AX40" s="119">
        <v>115.794</v>
      </c>
      <c r="AY40" s="124"/>
      <c r="AZ40" s="119">
        <v>9722</v>
      </c>
      <c r="BA40" s="119">
        <f t="shared" si="19"/>
        <v>1.0685244471481001</v>
      </c>
      <c r="BB40" s="119">
        <f t="shared" si="20"/>
        <v>1.0867903930131004</v>
      </c>
      <c r="BC40" s="119">
        <v>1.0913193073470258</v>
      </c>
      <c r="BD40" s="119">
        <f t="shared" si="31"/>
        <v>1.5874746496011925E-2</v>
      </c>
      <c r="BE40" s="119">
        <f t="shared" si="24"/>
        <v>4.3512721283020868E-2</v>
      </c>
      <c r="BF40" s="119">
        <f t="shared" si="32"/>
        <v>3.5308258741131131E-2</v>
      </c>
      <c r="BG40" s="119">
        <f t="shared" si="25"/>
        <v>-628.41669481192696</v>
      </c>
      <c r="BH40" s="124">
        <f t="shared" si="26"/>
        <v>-1.1046355393656265E-2</v>
      </c>
      <c r="BI40" s="58">
        <v>2986</v>
      </c>
      <c r="BJ40" s="58">
        <v>3612</v>
      </c>
      <c r="BK40" s="58">
        <v>6491</v>
      </c>
      <c r="BL40" s="124">
        <f t="shared" si="8"/>
        <v>1.7529845744860283E-2</v>
      </c>
      <c r="BM40" s="124">
        <f t="shared" si="9"/>
        <v>2.1204890432161869E-2</v>
      </c>
      <c r="BN40" s="124">
        <f t="shared" si="10"/>
        <v>3.810657358670063E-2</v>
      </c>
    </row>
    <row r="41" spans="1:66" s="119" customFormat="1">
      <c r="A41" s="117">
        <v>1976</v>
      </c>
      <c r="B41" s="145">
        <v>3.3651431441486634E-2</v>
      </c>
      <c r="C41" s="119">
        <v>1009.4817577467256</v>
      </c>
      <c r="D41" s="117">
        <v>590.49246604231962</v>
      </c>
      <c r="E41" s="117">
        <v>98.921962837653155</v>
      </c>
      <c r="F41" s="117">
        <v>383.41800000000001</v>
      </c>
      <c r="G41" s="119">
        <v>126.6</v>
      </c>
      <c r="H41" s="124">
        <f t="shared" ref="H41:H81" si="33">+G41/G40-1</f>
        <v>2.4271844660194164E-2</v>
      </c>
      <c r="I41" s="119">
        <v>194143.3509485957</v>
      </c>
      <c r="J41" s="117">
        <v>5528348.7992478637</v>
      </c>
      <c r="K41" s="59">
        <v>1540.8202456237755</v>
      </c>
      <c r="L41" s="119">
        <v>0.38877755511022044</v>
      </c>
      <c r="M41" s="119">
        <f t="shared" si="0"/>
        <v>986.21434020618562</v>
      </c>
      <c r="N41" s="119">
        <f t="shared" si="12"/>
        <v>1892545.3188556703</v>
      </c>
      <c r="O41" s="124">
        <f t="shared" si="13"/>
        <v>0.34233464413698944</v>
      </c>
      <c r="P41" s="119">
        <f t="shared" si="14"/>
        <v>7.3155867192211121E-2</v>
      </c>
      <c r="Q41" s="124">
        <f t="shared" si="15"/>
        <v>0.24884018826270005</v>
      </c>
      <c r="R41" s="119">
        <f t="shared" si="1"/>
        <v>48540.718799999995</v>
      </c>
      <c r="S41" s="119">
        <f t="shared" si="2"/>
        <v>0.25002514154014144</v>
      </c>
      <c r="T41" s="119">
        <v>90.376068970669664</v>
      </c>
      <c r="V41" s="119">
        <v>-5245.4</v>
      </c>
      <c r="W41" s="119">
        <v>102</v>
      </c>
      <c r="X41" s="119">
        <v>10.244999999999999</v>
      </c>
      <c r="Y41" s="58">
        <f t="shared" si="3"/>
        <v>1.2970169999999999</v>
      </c>
      <c r="Z41" s="58">
        <f t="shared" si="16"/>
        <v>103.297017</v>
      </c>
      <c r="AA41" s="121">
        <f t="shared" si="27"/>
        <v>-5142.1029829999998</v>
      </c>
      <c r="AB41" s="226">
        <f t="shared" si="21"/>
        <v>-2.6486114295830299E-2</v>
      </c>
      <c r="AC41" s="226">
        <f t="shared" si="28"/>
        <v>2.6486114295830299E-2</v>
      </c>
      <c r="AD41" s="277">
        <v>2.7018179991077057E-2</v>
      </c>
      <c r="AE41" s="119">
        <v>14.132999999999999</v>
      </c>
      <c r="AF41" s="119">
        <f t="shared" si="17"/>
        <v>36.352407216494846</v>
      </c>
      <c r="AG41" s="124">
        <f t="shared" si="18"/>
        <v>1.2618644731306488E-2</v>
      </c>
      <c r="AH41" s="119">
        <f t="shared" si="4"/>
        <v>1789.2377999999999</v>
      </c>
      <c r="AI41" s="58">
        <v>589</v>
      </c>
      <c r="AJ41" s="126">
        <f t="shared" si="29"/>
        <v>2378.2377999999999</v>
      </c>
      <c r="AK41" s="119">
        <v>3.6110490090897875E-2</v>
      </c>
      <c r="AL41" s="58">
        <f t="shared" si="30"/>
        <v>65860.025549735365</v>
      </c>
      <c r="AM41" s="127">
        <f t="shared" si="22"/>
        <v>1.1913145849027413E-2</v>
      </c>
      <c r="AN41" s="58">
        <f t="shared" si="5"/>
        <v>3.6110490090897875</v>
      </c>
      <c r="AO41" s="58"/>
      <c r="AP41" s="119">
        <f t="shared" si="6"/>
        <v>7034.6377999999995</v>
      </c>
      <c r="AQ41" s="58"/>
      <c r="AR41" s="119">
        <v>-4273.2</v>
      </c>
      <c r="AS41" s="119">
        <v>-1473.5</v>
      </c>
      <c r="AT41" s="122">
        <v>25198</v>
      </c>
      <c r="AU41" s="124"/>
      <c r="AV41" s="145">
        <f t="shared" si="7"/>
        <v>0.12979069268600293</v>
      </c>
      <c r="AW41" s="119">
        <f t="shared" si="23"/>
        <v>6.2422654587475368E-3</v>
      </c>
      <c r="AX41" s="119">
        <v>157.63</v>
      </c>
      <c r="AY41" s="124"/>
      <c r="AZ41" s="119">
        <v>11257</v>
      </c>
      <c r="BA41" s="119">
        <f t="shared" si="19"/>
        <v>1.0752594953069754</v>
      </c>
      <c r="BB41" s="119">
        <f t="shared" si="20"/>
        <v>1.0336514314414866</v>
      </c>
      <c r="BC41" s="119">
        <v>1.0573702708309056</v>
      </c>
      <c r="BD41" s="119">
        <f t="shared" si="31"/>
        <v>1.2388097985459453E-2</v>
      </c>
      <c r="BE41" s="119">
        <f t="shared" si="24"/>
        <v>3.8317113855498283E-2</v>
      </c>
      <c r="BF41" s="119">
        <f t="shared" si="32"/>
        <v>3.8271533382679308E-2</v>
      </c>
      <c r="BG41" s="119">
        <f t="shared" si="25"/>
        <v>-693.58622880884559</v>
      </c>
      <c r="BH41" s="124">
        <f t="shared" si="26"/>
        <v>-1.1039977120037972E-2</v>
      </c>
      <c r="BI41" s="58">
        <v>2703</v>
      </c>
      <c r="BJ41" s="58">
        <v>3096</v>
      </c>
      <c r="BK41" s="58">
        <v>5700</v>
      </c>
      <c r="BL41" s="124">
        <f t="shared" si="8"/>
        <v>1.3922701894208505E-2</v>
      </c>
      <c r="BM41" s="124">
        <f t="shared" si="9"/>
        <v>1.5946979306130052E-2</v>
      </c>
      <c r="BN41" s="124">
        <f t="shared" si="10"/>
        <v>2.9359748722526259E-2</v>
      </c>
    </row>
    <row r="42" spans="1:66" s="119" customFormat="1">
      <c r="A42" s="117">
        <v>1977</v>
      </c>
      <c r="B42" s="145">
        <v>9.3780369290573207E-2</v>
      </c>
      <c r="C42" s="119">
        <v>1097.0952898162777</v>
      </c>
      <c r="D42" s="117">
        <v>628.64165503312756</v>
      </c>
      <c r="E42" s="117">
        <v>105.3128871468633</v>
      </c>
      <c r="F42" s="117">
        <v>431.73200000000003</v>
      </c>
      <c r="G42" s="119">
        <v>126.6</v>
      </c>
      <c r="H42" s="124">
        <f t="shared" si="33"/>
        <v>0</v>
      </c>
      <c r="I42" s="119">
        <v>240956.52083487576</v>
      </c>
      <c r="J42" s="117">
        <v>6163781.7214908572</v>
      </c>
      <c r="K42" s="59">
        <v>1912.3533399593316</v>
      </c>
      <c r="L42" s="119">
        <v>0.41482965931863724</v>
      </c>
      <c r="M42" s="119">
        <f t="shared" si="0"/>
        <v>1040.7452560386475</v>
      </c>
      <c r="N42" s="119">
        <f t="shared" si="12"/>
        <v>1997190.1463381646</v>
      </c>
      <c r="O42" s="124">
        <f t="shared" si="13"/>
        <v>0.32402025843561127</v>
      </c>
      <c r="P42" s="119">
        <f t="shared" si="14"/>
        <v>-1.8314385701378166E-2</v>
      </c>
      <c r="Q42" s="124">
        <f t="shared" si="15"/>
        <v>0.22575953458955514</v>
      </c>
      <c r="R42" s="119">
        <f t="shared" si="1"/>
        <v>54657.271200000003</v>
      </c>
      <c r="S42" s="119">
        <f t="shared" si="2"/>
        <v>0.22683457999236256</v>
      </c>
      <c r="T42" s="119">
        <v>87.99604392391511</v>
      </c>
      <c r="V42" s="119">
        <v>-2329.6999999999998</v>
      </c>
      <c r="W42" s="119">
        <v>116</v>
      </c>
      <c r="X42" s="119">
        <v>14.129</v>
      </c>
      <c r="Y42" s="58">
        <f t="shared" si="3"/>
        <v>1.7887313999999999</v>
      </c>
      <c r="Z42" s="58">
        <f t="shared" si="16"/>
        <v>117.7887314</v>
      </c>
      <c r="AA42" s="121">
        <f t="shared" si="27"/>
        <v>-2211.9112685999999</v>
      </c>
      <c r="AB42" s="226">
        <f t="shared" si="21"/>
        <v>-9.1797111816525299E-3</v>
      </c>
      <c r="AC42" s="226">
        <f t="shared" si="28"/>
        <v>9.1797111816525299E-3</v>
      </c>
      <c r="AD42" s="277">
        <v>9.6685492964787272E-3</v>
      </c>
      <c r="AE42" s="119">
        <v>19.545000000000002</v>
      </c>
      <c r="AF42" s="119">
        <f t="shared" si="17"/>
        <v>47.115724637681168</v>
      </c>
      <c r="AG42" s="124">
        <f t="shared" si="18"/>
        <v>1.4668766621709817E-2</v>
      </c>
      <c r="AH42" s="119">
        <f t="shared" si="4"/>
        <v>2474.3969999999999</v>
      </c>
      <c r="AI42" s="58">
        <v>1177.0999999999999</v>
      </c>
      <c r="AJ42" s="126">
        <f t="shared" si="29"/>
        <v>3651.4969999999998</v>
      </c>
      <c r="AK42" s="119">
        <v>3.9490378850868257E-2</v>
      </c>
      <c r="AL42" s="58">
        <f t="shared" si="30"/>
        <v>92465.484157281418</v>
      </c>
      <c r="AM42" s="127">
        <f t="shared" si="22"/>
        <v>1.5001420935281992E-2</v>
      </c>
      <c r="AN42" s="58">
        <f t="shared" si="5"/>
        <v>3.9490378850868257</v>
      </c>
      <c r="AO42" s="58"/>
      <c r="AP42" s="119">
        <f t="shared" si="6"/>
        <v>4804.0969999999998</v>
      </c>
      <c r="AQ42" s="58"/>
      <c r="AR42" s="119">
        <v>579.29999999999995</v>
      </c>
      <c r="AS42" s="119">
        <v>-4187.1000000000004</v>
      </c>
      <c r="AT42" s="122">
        <v>33240</v>
      </c>
      <c r="AU42" s="124"/>
      <c r="AV42" s="145">
        <f t="shared" si="7"/>
        <v>0.13795019900199723</v>
      </c>
      <c r="AW42" s="119">
        <f t="shared" si="23"/>
        <v>8.1595063159942971E-3</v>
      </c>
      <c r="AX42" s="119">
        <v>267.40600000000001</v>
      </c>
      <c r="AY42" s="124"/>
      <c r="AZ42" s="119">
        <v>14757</v>
      </c>
      <c r="BA42" s="119">
        <f t="shared" si="19"/>
        <v>1.1149408160225789</v>
      </c>
      <c r="BB42" s="119">
        <f t="shared" si="20"/>
        <v>1.0937803692905732</v>
      </c>
      <c r="BC42" s="119">
        <v>1.0648646006449871</v>
      </c>
      <c r="BD42" s="119">
        <f t="shared" si="31"/>
        <v>2.3361293333512764E-2</v>
      </c>
      <c r="BE42" s="119">
        <f t="shared" si="24"/>
        <v>3.6850121799185225E-2</v>
      </c>
      <c r="BF42" s="119">
        <f t="shared" si="32"/>
        <v>3.2273538536299419E-2</v>
      </c>
      <c r="BG42" s="119">
        <f t="shared" si="25"/>
        <v>-954.38571369249019</v>
      </c>
      <c r="BH42" s="124">
        <f t="shared" si="26"/>
        <v>-1.257427538409127E-2</v>
      </c>
      <c r="BI42" s="58">
        <v>2931</v>
      </c>
      <c r="BJ42" s="58">
        <v>2686</v>
      </c>
      <c r="BK42" s="58">
        <v>5567</v>
      </c>
      <c r="BL42" s="124">
        <f t="shared" si="8"/>
        <v>1.2164020254959503E-2</v>
      </c>
      <c r="BM42" s="124">
        <f t="shared" si="9"/>
        <v>1.1147239305636719E-2</v>
      </c>
      <c r="BN42" s="124">
        <f t="shared" si="10"/>
        <v>2.3103753244407898E-2</v>
      </c>
    </row>
    <row r="43" spans="1:66" s="119" customFormat="1">
      <c r="A43" s="117">
        <v>1978</v>
      </c>
      <c r="B43" s="145">
        <v>0.16836961350510871</v>
      </c>
      <c r="C43" s="119">
        <v>1197.5201852092703</v>
      </c>
      <c r="D43" s="117">
        <v>672.17842008314062</v>
      </c>
      <c r="E43" s="117">
        <v>112.60636251195012</v>
      </c>
      <c r="F43" s="117">
        <v>561.75300000000004</v>
      </c>
      <c r="G43" s="119">
        <v>126.6</v>
      </c>
      <c r="H43" s="124">
        <f t="shared" si="33"/>
        <v>0</v>
      </c>
      <c r="I43" s="119">
        <v>296141.47375463031</v>
      </c>
      <c r="J43" s="117">
        <v>6905206.3791843159</v>
      </c>
      <c r="K43" s="59">
        <v>2350.3291567827805</v>
      </c>
      <c r="L43" s="119">
        <v>0.45223780895123583</v>
      </c>
      <c r="M43" s="119">
        <f t="shared" si="0"/>
        <v>1242.1628375184639</v>
      </c>
      <c r="N43" s="119">
        <f t="shared" si="12"/>
        <v>2383710.4851979325</v>
      </c>
      <c r="O43" s="124">
        <f t="shared" si="13"/>
        <v>0.34520481420853788</v>
      </c>
      <c r="P43" s="119">
        <f t="shared" si="14"/>
        <v>2.1184555772926605E-2</v>
      </c>
      <c r="Q43" s="124">
        <f t="shared" si="15"/>
        <v>0.23901035239206614</v>
      </c>
      <c r="R43" s="119">
        <f t="shared" si="1"/>
        <v>71117.929799999998</v>
      </c>
      <c r="S43" s="119">
        <f t="shared" si="2"/>
        <v>0.24014849692726647</v>
      </c>
      <c r="T43" s="119">
        <v>81.209397481013525</v>
      </c>
      <c r="V43" s="119">
        <v>-4399.6000000000004</v>
      </c>
      <c r="W43" s="119">
        <v>110.2</v>
      </c>
      <c r="X43" s="119">
        <v>18.48</v>
      </c>
      <c r="Y43" s="58">
        <f t="shared" si="3"/>
        <v>2.3395679999999999</v>
      </c>
      <c r="Z43" s="58">
        <f t="shared" si="16"/>
        <v>112.539568</v>
      </c>
      <c r="AA43" s="121">
        <f t="shared" si="27"/>
        <v>-4287.0604320000002</v>
      </c>
      <c r="AB43" s="226">
        <f t="shared" si="21"/>
        <v>-1.4476393250990803E-2</v>
      </c>
      <c r="AC43" s="226">
        <f t="shared" si="28"/>
        <v>1.4476393250990803E-2</v>
      </c>
      <c r="AD43" s="277">
        <v>1.4856412863148354E-2</v>
      </c>
      <c r="AE43" s="119">
        <v>27.277000000000001</v>
      </c>
      <c r="AF43" s="119">
        <f t="shared" si="17"/>
        <v>60.31561152141802</v>
      </c>
      <c r="AG43" s="124">
        <f t="shared" si="18"/>
        <v>1.6762085324272921E-2</v>
      </c>
      <c r="AH43" s="119">
        <f t="shared" si="4"/>
        <v>3453.2682</v>
      </c>
      <c r="AI43" s="58">
        <v>879.4</v>
      </c>
      <c r="AJ43" s="126">
        <f t="shared" si="29"/>
        <v>4332.6682000000001</v>
      </c>
      <c r="AK43" s="119">
        <v>4.3700151011724225E-2</v>
      </c>
      <c r="AL43" s="58">
        <f t="shared" si="30"/>
        <v>99145.382789125768</v>
      </c>
      <c r="AM43" s="127">
        <f t="shared" si="22"/>
        <v>1.435806221346239E-2</v>
      </c>
      <c r="AN43" s="58">
        <f t="shared" si="5"/>
        <v>4.3700151011724229</v>
      </c>
      <c r="AO43" s="58"/>
      <c r="AP43" s="119">
        <f t="shared" si="6"/>
        <v>7852.8682000000008</v>
      </c>
      <c r="AQ43" s="58"/>
      <c r="AR43" s="119">
        <v>162.9</v>
      </c>
      <c r="AS43" s="119">
        <v>-6438.3</v>
      </c>
      <c r="AT43" s="122">
        <v>44336</v>
      </c>
      <c r="AU43" s="124"/>
      <c r="AV43" s="145">
        <f t="shared" si="7"/>
        <v>0.14971222854362792</v>
      </c>
      <c r="AW43" s="119">
        <f t="shared" si="23"/>
        <v>1.1762029541630692E-2</v>
      </c>
      <c r="AX43" s="119">
        <v>448.18799999999999</v>
      </c>
      <c r="AY43" s="124"/>
      <c r="AZ43" s="119">
        <v>20158</v>
      </c>
      <c r="BA43" s="119">
        <f t="shared" si="19"/>
        <v>1.1202872994526041</v>
      </c>
      <c r="BB43" s="119">
        <f t="shared" si="20"/>
        <v>1.1683696135051087</v>
      </c>
      <c r="BC43" s="119">
        <v>1.0764746385135098</v>
      </c>
      <c r="BD43" s="119">
        <f t="shared" si="31"/>
        <v>3.2556980949628236E-2</v>
      </c>
      <c r="BE43" s="119">
        <f t="shared" si="24"/>
        <v>4.2804332317270898E-2</v>
      </c>
      <c r="BF43" s="119">
        <f t="shared" si="32"/>
        <v>3.055664810275973E-2</v>
      </c>
      <c r="BG43" s="119">
        <f t="shared" si="25"/>
        <v>-1008.943569485258</v>
      </c>
      <c r="BH43" s="124">
        <f t="shared" si="26"/>
        <v>-9.7156880403790925E-3</v>
      </c>
      <c r="BI43" s="58">
        <v>3003</v>
      </c>
      <c r="BJ43" s="58">
        <v>2777</v>
      </c>
      <c r="BK43" s="58">
        <v>5751</v>
      </c>
      <c r="BL43" s="124">
        <f t="shared" si="8"/>
        <v>1.0140423635792914E-2</v>
      </c>
      <c r="BM43" s="124">
        <f t="shared" si="9"/>
        <v>9.3772748706616449E-3</v>
      </c>
      <c r="BN43" s="124">
        <f t="shared" si="10"/>
        <v>1.9419772337477537E-2</v>
      </c>
    </row>
    <row r="44" spans="1:66" s="119" customFormat="1">
      <c r="A44" s="117">
        <v>1979</v>
      </c>
      <c r="B44" s="145">
        <v>0.35703422053231959</v>
      </c>
      <c r="C44" s="119">
        <v>1304.3188210586238</v>
      </c>
      <c r="D44" s="117">
        <v>717.18038464334029</v>
      </c>
      <c r="E44" s="117">
        <v>120.14529471151253</v>
      </c>
      <c r="F44" s="117">
        <v>573.96799999999996</v>
      </c>
      <c r="G44" s="119">
        <v>126.6</v>
      </c>
      <c r="H44" s="124">
        <f t="shared" si="33"/>
        <v>0</v>
      </c>
      <c r="I44" s="119">
        <v>395025.60881821497</v>
      </c>
      <c r="J44" s="117">
        <v>7724312.1086387523</v>
      </c>
      <c r="K44" s="59">
        <v>3135.1238795096424</v>
      </c>
      <c r="L44" s="119">
        <v>0.51235804943219776</v>
      </c>
      <c r="M44" s="119">
        <f t="shared" si="0"/>
        <v>1120.247843546284</v>
      </c>
      <c r="N44" s="119">
        <f t="shared" si="12"/>
        <v>2149755.611765319</v>
      </c>
      <c r="O44" s="124">
        <f t="shared" si="13"/>
        <v>0.27831029890170611</v>
      </c>
      <c r="P44" s="119">
        <f t="shared" si="14"/>
        <v>-6.689451530683177E-2</v>
      </c>
      <c r="Q44" s="124">
        <f t="shared" si="15"/>
        <v>0.1830766572738341</v>
      </c>
      <c r="R44" s="119">
        <f t="shared" si="1"/>
        <v>72664.348799999992</v>
      </c>
      <c r="S44" s="119">
        <f t="shared" si="2"/>
        <v>0.18394845087989997</v>
      </c>
      <c r="T44" s="119">
        <v>66.494136107946858</v>
      </c>
      <c r="V44" s="119">
        <v>6395</v>
      </c>
      <c r="W44" s="58"/>
      <c r="X44" s="119">
        <v>25.64</v>
      </c>
      <c r="Y44" s="58">
        <f t="shared" si="3"/>
        <v>3.2460239999999998</v>
      </c>
      <c r="Z44" s="58">
        <f t="shared" si="16"/>
        <v>3.2460239999999998</v>
      </c>
      <c r="AA44" s="121">
        <f t="shared" si="27"/>
        <v>6398.246024</v>
      </c>
      <c r="AB44" s="226">
        <f t="shared" si="21"/>
        <v>1.6197041106123272E-2</v>
      </c>
      <c r="AC44" s="226">
        <f t="shared" si="28"/>
        <v>-1.6197041106123272E-2</v>
      </c>
      <c r="AD44" s="277">
        <v>-1.6188823856589221E-2</v>
      </c>
      <c r="AE44" s="119">
        <v>33.656999999999996</v>
      </c>
      <c r="AF44" s="119">
        <f t="shared" si="17"/>
        <v>65.690389830508465</v>
      </c>
      <c r="AG44" s="124">
        <f t="shared" si="18"/>
        <v>1.6319881474463251E-2</v>
      </c>
      <c r="AH44" s="119">
        <f t="shared" si="4"/>
        <v>4260.9761999999992</v>
      </c>
      <c r="AI44" s="58"/>
      <c r="AJ44" s="126">
        <f t="shared" si="29"/>
        <v>4260.9761999999992</v>
      </c>
      <c r="AK44" s="119">
        <v>5.6008076286312818E-2</v>
      </c>
      <c r="AL44" s="58">
        <f t="shared" si="30"/>
        <v>76077.888806927134</v>
      </c>
      <c r="AM44" s="127">
        <f t="shared" si="22"/>
        <v>9.84914743694041E-3</v>
      </c>
      <c r="AN44" s="58">
        <f t="shared" si="5"/>
        <v>5.6008076286312818</v>
      </c>
      <c r="AO44" s="58"/>
      <c r="AP44" s="119">
        <f t="shared" si="6"/>
        <v>-2134.0238000000008</v>
      </c>
      <c r="AQ44" s="58"/>
      <c r="AT44" s="122">
        <v>52650</v>
      </c>
      <c r="AU44" s="124"/>
      <c r="AV44" s="145">
        <f t="shared" si="7"/>
        <v>0.1332824982094484</v>
      </c>
      <c r="AW44" s="119">
        <f t="shared" si="23"/>
        <v>-1.6429730334179521E-2</v>
      </c>
      <c r="AX44" s="119">
        <v>612.87400000000002</v>
      </c>
      <c r="AY44" s="124"/>
      <c r="AZ44" s="119">
        <v>26423</v>
      </c>
      <c r="BA44" s="119">
        <f t="shared" si="19"/>
        <v>1.1186214697251662</v>
      </c>
      <c r="BB44" s="119">
        <f t="shared" si="20"/>
        <v>1.3570342205323196</v>
      </c>
      <c r="BC44" s="119">
        <v>1.112660440919327</v>
      </c>
      <c r="BD44" s="119">
        <f t="shared" si="31"/>
        <v>5.1088066754650122E-2</v>
      </c>
      <c r="BE44" s="119">
        <f t="shared" si="24"/>
        <v>4.5642835908308456E-2</v>
      </c>
      <c r="BF44" s="119">
        <f t="shared" si="32"/>
        <v>3.4390772324159449E-2</v>
      </c>
      <c r="BG44" s="119">
        <f t="shared" si="25"/>
        <v>-1199.4438981838346</v>
      </c>
      <c r="BH44" s="124">
        <f t="shared" si="26"/>
        <v>-1.0185659233591922E-2</v>
      </c>
      <c r="BI44" s="58">
        <v>4426</v>
      </c>
      <c r="BJ44" s="58">
        <v>2949</v>
      </c>
      <c r="BK44" s="58">
        <v>7180</v>
      </c>
      <c r="BL44" s="124">
        <f t="shared" si="8"/>
        <v>1.1204336886515074E-2</v>
      </c>
      <c r="BM44" s="124">
        <f t="shared" si="9"/>
        <v>7.4653387885975937E-3</v>
      </c>
      <c r="BN44" s="124">
        <f t="shared" si="10"/>
        <v>1.8176036792855451E-2</v>
      </c>
    </row>
    <row r="45" spans="1:66" s="119" customFormat="1">
      <c r="A45" s="117">
        <v>1980</v>
      </c>
      <c r="B45" s="145">
        <v>0.15017255226305104</v>
      </c>
      <c r="C45" s="119">
        <v>1417.4796654945931</v>
      </c>
      <c r="D45" s="117">
        <v>763.49183651129283</v>
      </c>
      <c r="E45" s="117">
        <v>127.90359813466077</v>
      </c>
      <c r="F45" s="117">
        <v>690.64</v>
      </c>
      <c r="G45" s="119">
        <v>126.6</v>
      </c>
      <c r="H45" s="124">
        <f t="shared" si="33"/>
        <v>0</v>
      </c>
      <c r="I45" s="119">
        <v>515946.12150783779</v>
      </c>
      <c r="J45" s="117">
        <v>8628994.8158898093</v>
      </c>
      <c r="K45" s="59">
        <v>4094.8104881574427</v>
      </c>
      <c r="L45" s="119">
        <v>0.57648630594522388</v>
      </c>
      <c r="M45" s="119">
        <f t="shared" si="0"/>
        <v>1198.0163151796057</v>
      </c>
      <c r="N45" s="119">
        <f t="shared" si="12"/>
        <v>2298993.3088296633</v>
      </c>
      <c r="O45" s="124">
        <f t="shared" si="13"/>
        <v>0.26642654884856304</v>
      </c>
      <c r="P45" s="119">
        <f t="shared" si="14"/>
        <v>-1.1883750053143072E-2</v>
      </c>
      <c r="Q45" s="124">
        <f t="shared" si="15"/>
        <v>0.16866226214800234</v>
      </c>
      <c r="R45" s="119">
        <f t="shared" si="1"/>
        <v>87435.02399999999</v>
      </c>
      <c r="S45" s="119">
        <f t="shared" si="2"/>
        <v>0.1694654157772785</v>
      </c>
      <c r="T45" s="119">
        <v>65.594740255574351</v>
      </c>
      <c r="V45" s="119">
        <v>2017.6523999999956</v>
      </c>
      <c r="W45" s="58">
        <v>59</v>
      </c>
      <c r="X45" s="119">
        <v>32.905000000000001</v>
      </c>
      <c r="Y45" s="58">
        <f t="shared" si="3"/>
        <v>4.1657729999999997</v>
      </c>
      <c r="Z45" s="58">
        <f t="shared" si="16"/>
        <v>63.165773000000002</v>
      </c>
      <c r="AA45" s="121">
        <f t="shared" si="27"/>
        <v>2080.8181729999956</v>
      </c>
      <c r="AB45" s="226">
        <f t="shared" si="21"/>
        <v>4.0330144684853214E-3</v>
      </c>
      <c r="AC45" s="226">
        <f t="shared" si="28"/>
        <v>-4.0330144684853214E-3</v>
      </c>
      <c r="AD45" s="277">
        <v>-3.9105873964193471E-3</v>
      </c>
      <c r="AE45" s="119">
        <v>39.768999999999998</v>
      </c>
      <c r="AF45" s="119">
        <f t="shared" si="17"/>
        <v>68.985159907300101</v>
      </c>
      <c r="AG45" s="124">
        <f t="shared" si="18"/>
        <v>1.5341592466637473E-2</v>
      </c>
      <c r="AH45" s="119">
        <f t="shared" si="4"/>
        <v>5034.7554</v>
      </c>
      <c r="AI45" s="58">
        <v>828</v>
      </c>
      <c r="AJ45" s="126">
        <f t="shared" si="29"/>
        <v>5862.7554</v>
      </c>
      <c r="AK45" s="119">
        <v>6.8578546491363385E-2</v>
      </c>
      <c r="AL45" s="58">
        <f t="shared" si="30"/>
        <v>85489.642168755221</v>
      </c>
      <c r="AM45" s="127">
        <f t="shared" si="22"/>
        <v>9.9072538566520926E-3</v>
      </c>
      <c r="AN45" s="58">
        <f t="shared" si="5"/>
        <v>6.8578546491363381</v>
      </c>
      <c r="AO45" s="58"/>
      <c r="AP45" s="119">
        <f t="shared" si="6"/>
        <v>3017.1030000000046</v>
      </c>
      <c r="AQ45" s="58"/>
      <c r="AR45" s="119">
        <v>-1524.0330000000031</v>
      </c>
      <c r="AS45" s="119">
        <v>-582</v>
      </c>
      <c r="AT45" s="122">
        <v>66508</v>
      </c>
      <c r="AU45" s="124"/>
      <c r="AV45" s="145">
        <f t="shared" si="7"/>
        <v>0.12890493256472646</v>
      </c>
      <c r="AW45" s="119">
        <f t="shared" si="23"/>
        <v>-4.3775656447219424E-3</v>
      </c>
      <c r="AX45" s="119">
        <v>766.47799999999995</v>
      </c>
      <c r="AY45" s="124"/>
      <c r="AZ45" s="119">
        <v>33712</v>
      </c>
      <c r="BA45" s="119">
        <f t="shared" si="19"/>
        <v>1.1171214594292835</v>
      </c>
      <c r="BB45" s="119">
        <f t="shared" si="20"/>
        <v>1.150172552263051</v>
      </c>
      <c r="BC45" s="119">
        <v>1.135093703292916</v>
      </c>
      <c r="BD45" s="119">
        <f t="shared" si="31"/>
        <v>2.9551219734806088E-2</v>
      </c>
      <c r="BE45" s="119">
        <f t="shared" si="24"/>
        <v>5.7328980012823022E-2</v>
      </c>
      <c r="BF45" s="119">
        <f t="shared" si="32"/>
        <v>3.5994861878823503E-2</v>
      </c>
      <c r="BG45" s="119">
        <f t="shared" si="25"/>
        <v>-1079.9246771477856</v>
      </c>
      <c r="BH45" s="124">
        <f t="shared" si="26"/>
        <v>-8.2952491819687276E-3</v>
      </c>
      <c r="BI45" s="58">
        <v>4145</v>
      </c>
      <c r="BJ45" s="58">
        <v>7362</v>
      </c>
      <c r="BK45" s="58">
        <v>11507</v>
      </c>
      <c r="BL45" s="124">
        <f t="shared" si="8"/>
        <v>8.0337845895349612E-3</v>
      </c>
      <c r="BM45" s="124">
        <f t="shared" si="9"/>
        <v>1.4268931760713241E-2</v>
      </c>
      <c r="BN45" s="124">
        <f t="shared" si="10"/>
        <v>2.2302716350248202E-2</v>
      </c>
    </row>
    <row r="46" spans="1:66" s="119" customFormat="1">
      <c r="A46" s="117">
        <v>1981</v>
      </c>
      <c r="B46" s="145">
        <v>8.1180811808118092E-2</v>
      </c>
      <c r="C46" s="119">
        <v>1503.7035588376657</v>
      </c>
      <c r="D46" s="117">
        <v>793.40093262710559</v>
      </c>
      <c r="E46" s="117">
        <v>132.91410489744169</v>
      </c>
      <c r="F46" s="117">
        <v>713.755</v>
      </c>
      <c r="G46" s="119">
        <v>126.6</v>
      </c>
      <c r="H46" s="124">
        <f t="shared" si="33"/>
        <v>0</v>
      </c>
      <c r="I46" s="119">
        <v>657659.11807549722</v>
      </c>
      <c r="J46" s="117">
        <v>9420313.2346182</v>
      </c>
      <c r="K46" s="59">
        <v>5219.5168101229938</v>
      </c>
      <c r="L46" s="119">
        <v>0.62792251169004676</v>
      </c>
      <c r="M46" s="119">
        <f t="shared" si="0"/>
        <v>1136.6928031914892</v>
      </c>
      <c r="N46" s="119">
        <f t="shared" si="12"/>
        <v>2181313.4893244677</v>
      </c>
      <c r="O46" s="124">
        <f t="shared" si="13"/>
        <v>0.2315542418810955</v>
      </c>
      <c r="P46" s="119">
        <f t="shared" si="14"/>
        <v>-3.4872306967467542E-2</v>
      </c>
      <c r="Q46" s="124">
        <f t="shared" si="15"/>
        <v>0.13674733236143768</v>
      </c>
      <c r="R46" s="119">
        <f t="shared" si="1"/>
        <v>90361.383000000002</v>
      </c>
      <c r="S46" s="119">
        <f t="shared" si="2"/>
        <v>0.13739851013458737</v>
      </c>
      <c r="T46" s="119">
        <v>66.282087725574584</v>
      </c>
      <c r="V46" s="119">
        <v>-19063.734100000009</v>
      </c>
      <c r="W46" s="58">
        <v>107</v>
      </c>
      <c r="X46" s="119">
        <v>34.137</v>
      </c>
      <c r="Y46" s="58">
        <f t="shared" si="3"/>
        <v>4.3217442000000004</v>
      </c>
      <c r="Z46" s="58">
        <f t="shared" si="16"/>
        <v>111.3217442</v>
      </c>
      <c r="AA46" s="121">
        <f t="shared" si="27"/>
        <v>-18952.41235580001</v>
      </c>
      <c r="AB46" s="226">
        <f t="shared" si="21"/>
        <v>-2.8817987670056652E-2</v>
      </c>
      <c r="AC46" s="226">
        <f t="shared" si="28"/>
        <v>2.8817987670056652E-2</v>
      </c>
      <c r="AD46" s="277">
        <v>2.8987257343570428E-2</v>
      </c>
      <c r="AE46" s="119">
        <v>44.375</v>
      </c>
      <c r="AF46" s="119">
        <f t="shared" si="17"/>
        <v>70.669547872340431</v>
      </c>
      <c r="AG46" s="124">
        <f t="shared" si="18"/>
        <v>1.4396003507469111E-2</v>
      </c>
      <c r="AH46" s="119">
        <f t="shared" si="4"/>
        <v>5617.875</v>
      </c>
      <c r="AI46" s="58">
        <v>1643</v>
      </c>
      <c r="AJ46" s="126">
        <f t="shared" si="29"/>
        <v>7260.875</v>
      </c>
      <c r="AK46" s="119">
        <v>7.815508739450662E-2</v>
      </c>
      <c r="AL46" s="58">
        <f t="shared" si="30"/>
        <v>92903.421159891805</v>
      </c>
      <c r="AM46" s="127">
        <f t="shared" si="22"/>
        <v>9.8620310011015393E-3</v>
      </c>
      <c r="AN46" s="58">
        <f t="shared" si="5"/>
        <v>7.8155087394506619</v>
      </c>
      <c r="AO46" s="58"/>
      <c r="AP46" s="119">
        <f t="shared" si="6"/>
        <v>24681.609100000009</v>
      </c>
      <c r="AQ46" s="58"/>
      <c r="AR46" s="119">
        <v>-17371.2</v>
      </c>
      <c r="AS46" s="119">
        <v>-1968</v>
      </c>
      <c r="AT46" s="122">
        <v>78790</v>
      </c>
      <c r="AU46" s="124"/>
      <c r="AV46" s="145">
        <f t="shared" si="7"/>
        <v>0.11980370656239446</v>
      </c>
      <c r="AW46" s="119">
        <f t="shared" si="23"/>
        <v>-9.1012260023319996E-3</v>
      </c>
      <c r="AX46" s="119">
        <v>810.00400000000002</v>
      </c>
      <c r="AY46" s="124"/>
      <c r="AZ46" s="119">
        <v>34369</v>
      </c>
      <c r="BA46" s="119">
        <f t="shared" si="19"/>
        <v>1.091704588496359</v>
      </c>
      <c r="BB46" s="119">
        <f t="shared" si="20"/>
        <v>1.0811808118081181</v>
      </c>
      <c r="BC46" s="119">
        <v>1.1031553398058249</v>
      </c>
      <c r="BD46" s="119">
        <f t="shared" si="31"/>
        <v>1.9694011254774515E-2</v>
      </c>
      <c r="BE46" s="119">
        <f t="shared" si="24"/>
        <v>4.9428066720722807E-2</v>
      </c>
      <c r="BF46" s="119">
        <f t="shared" si="32"/>
        <v>4.7602790030983118E-2</v>
      </c>
      <c r="BG46" s="119">
        <f t="shared" si="25"/>
        <v>-1140.9873960744189</v>
      </c>
      <c r="BH46" s="124">
        <f t="shared" si="26"/>
        <v>-7.6690104785918879E-3</v>
      </c>
      <c r="BI46" s="58">
        <v>4187</v>
      </c>
      <c r="BJ46" s="58">
        <v>7494</v>
      </c>
      <c r="BK46" s="58">
        <v>11681</v>
      </c>
      <c r="BL46" s="124">
        <f t="shared" si="8"/>
        <v>6.3665201088557635E-3</v>
      </c>
      <c r="BM46" s="124">
        <f t="shared" si="9"/>
        <v>1.1394960997316716E-2</v>
      </c>
      <c r="BN46" s="124">
        <f t="shared" si="10"/>
        <v>1.776148110617248E-2</v>
      </c>
    </row>
    <row r="47" spans="1:66" s="119" customFormat="1">
      <c r="A47" s="117">
        <v>1982</v>
      </c>
      <c r="B47" s="145">
        <v>8.8737201365187701E-2</v>
      </c>
      <c r="C47" s="119">
        <v>1439.5471295252928</v>
      </c>
      <c r="D47" s="117">
        <v>744.04514228839128</v>
      </c>
      <c r="E47" s="117">
        <v>124.64580015439796</v>
      </c>
      <c r="F47" s="117">
        <v>941.42200000000003</v>
      </c>
      <c r="G47" s="119">
        <v>126.6</v>
      </c>
      <c r="H47" s="124">
        <f t="shared" si="33"/>
        <v>0</v>
      </c>
      <c r="I47" s="119">
        <v>689173.20032844727</v>
      </c>
      <c r="J47" s="117">
        <v>9288653.2678140849</v>
      </c>
      <c r="K47" s="59">
        <v>5067.4500024150539</v>
      </c>
      <c r="L47" s="119">
        <v>0.65197060788243144</v>
      </c>
      <c r="M47" s="119">
        <f t="shared" si="0"/>
        <v>1443.963866803279</v>
      </c>
      <c r="N47" s="119">
        <f t="shared" si="12"/>
        <v>2770966.6603954923</v>
      </c>
      <c r="O47" s="124">
        <f t="shared" si="13"/>
        <v>0.29831737502756295</v>
      </c>
      <c r="P47" s="119">
        <f t="shared" si="14"/>
        <v>6.6763133146467452E-2</v>
      </c>
      <c r="Q47" s="124">
        <f t="shared" si="15"/>
        <v>0.18577825130022704</v>
      </c>
      <c r="R47" s="119">
        <f t="shared" si="1"/>
        <v>119184.0252</v>
      </c>
      <c r="S47" s="119">
        <f t="shared" si="2"/>
        <v>0.17293769569565254</v>
      </c>
      <c r="T47" s="119">
        <v>63.317510041270253</v>
      </c>
      <c r="V47" s="119">
        <v>-7001.880000000001</v>
      </c>
      <c r="W47" s="58">
        <v>86</v>
      </c>
      <c r="X47" s="119">
        <v>41.546999999999997</v>
      </c>
      <c r="Y47" s="58">
        <f t="shared" si="3"/>
        <v>5.2598501999999989</v>
      </c>
      <c r="Z47" s="58">
        <f t="shared" si="16"/>
        <v>91.259850200000002</v>
      </c>
      <c r="AA47" s="121">
        <f t="shared" si="27"/>
        <v>-6910.6201498000009</v>
      </c>
      <c r="AB47" s="226">
        <f t="shared" si="21"/>
        <v>-1.0027406966066769E-2</v>
      </c>
      <c r="AC47" s="226">
        <f t="shared" si="28"/>
        <v>1.0027406966066769E-2</v>
      </c>
      <c r="AD47" s="277">
        <v>1.0159826291363382E-2</v>
      </c>
      <c r="AE47" s="119">
        <v>44.277000000000001</v>
      </c>
      <c r="AF47" s="119">
        <f t="shared" si="17"/>
        <v>67.912570696721318</v>
      </c>
      <c r="AG47" s="124">
        <f t="shared" si="18"/>
        <v>1.4030475614650394E-2</v>
      </c>
      <c r="AH47" s="119">
        <f t="shared" si="4"/>
        <v>5605.4682000000003</v>
      </c>
      <c r="AI47" s="58">
        <v>500</v>
      </c>
      <c r="AJ47" s="126">
        <f t="shared" si="29"/>
        <v>6105.4682000000003</v>
      </c>
      <c r="AK47" s="119">
        <v>8.3446183382758776E-2</v>
      </c>
      <c r="AL47" s="58">
        <f t="shared" si="30"/>
        <v>73166.536233237493</v>
      </c>
      <c r="AM47" s="127">
        <f t="shared" si="22"/>
        <v>7.8769800232252503E-3</v>
      </c>
      <c r="AN47" s="58">
        <f t="shared" si="5"/>
        <v>8.3446183382758772</v>
      </c>
      <c r="AO47" s="58"/>
      <c r="AP47" s="119">
        <f t="shared" si="6"/>
        <v>12607.3482</v>
      </c>
      <c r="AQ47" s="58"/>
      <c r="AR47" s="119">
        <v>-6046.0999999999913</v>
      </c>
      <c r="AS47" s="119">
        <v>-5542</v>
      </c>
      <c r="AT47" s="122">
        <v>77075</v>
      </c>
      <c r="AU47" s="124"/>
      <c r="AV47" s="145">
        <f t="shared" si="7"/>
        <v>0.11183690828846431</v>
      </c>
      <c r="AW47" s="119">
        <f t="shared" si="23"/>
        <v>-7.9667982739301535E-3</v>
      </c>
      <c r="AX47" s="119">
        <v>686.82899999999995</v>
      </c>
      <c r="AY47" s="124"/>
      <c r="AZ47" s="119">
        <v>36131</v>
      </c>
      <c r="BA47" s="119">
        <f t="shared" si="19"/>
        <v>0.98602382282573309</v>
      </c>
      <c r="BB47" s="119">
        <f t="shared" si="20"/>
        <v>1.0887372013651877</v>
      </c>
      <c r="BC47" s="119">
        <v>1.0616061606160625</v>
      </c>
      <c r="BD47" s="119">
        <f t="shared" si="31"/>
        <v>8.2048398921169309E-3</v>
      </c>
      <c r="BE47" s="119">
        <f t="shared" si="24"/>
        <v>5.8209049323647469E-2</v>
      </c>
      <c r="BF47" s="119">
        <f t="shared" si="32"/>
        <v>4.7219652455916153E-2</v>
      </c>
      <c r="BG47" s="119">
        <f t="shared" si="25"/>
        <v>-1083.0185640756461</v>
      </c>
      <c r="BH47" s="124">
        <f t="shared" si="26"/>
        <v>-6.7119621317177592E-3</v>
      </c>
      <c r="BI47" s="58">
        <v>3517</v>
      </c>
      <c r="BJ47" s="58">
        <v>8593</v>
      </c>
      <c r="BK47" s="58">
        <v>12110</v>
      </c>
      <c r="BL47" s="124">
        <f t="shared" si="8"/>
        <v>5.1032164314048518E-3</v>
      </c>
      <c r="BM47" s="124">
        <f t="shared" si="9"/>
        <v>1.2468563774541341E-2</v>
      </c>
      <c r="BN47" s="124">
        <f t="shared" si="10"/>
        <v>1.7571780205946193E-2</v>
      </c>
    </row>
    <row r="48" spans="1:66" s="119" customFormat="1">
      <c r="A48" s="117">
        <v>1983</v>
      </c>
      <c r="B48" s="145">
        <v>0.14106583072100309</v>
      </c>
      <c r="C48" s="119">
        <v>1354.7766350915051</v>
      </c>
      <c r="D48" s="117">
        <v>685.93666009430751</v>
      </c>
      <c r="E48" s="117">
        <v>114.91120497034422</v>
      </c>
      <c r="F48" s="117">
        <v>1203.787</v>
      </c>
      <c r="G48" s="119">
        <v>126.6</v>
      </c>
      <c r="H48" s="124">
        <f t="shared" si="33"/>
        <v>0</v>
      </c>
      <c r="I48" s="119">
        <v>764665.15118325572</v>
      </c>
      <c r="J48" s="117">
        <v>9006035.042173909</v>
      </c>
      <c r="K48" s="59">
        <v>5237.4325423510663</v>
      </c>
      <c r="L48" s="119">
        <v>0.67668670674682696</v>
      </c>
      <c r="M48" s="119">
        <f t="shared" si="0"/>
        <v>1778.9428815399804</v>
      </c>
      <c r="N48" s="119">
        <f t="shared" si="12"/>
        <v>3413791.3896752223</v>
      </c>
      <c r="O48" s="124">
        <f t="shared" si="13"/>
        <v>0.37905597454250956</v>
      </c>
      <c r="P48" s="119">
        <f t="shared" si="14"/>
        <v>8.0738599514946607E-2</v>
      </c>
      <c r="Q48" s="124">
        <f t="shared" si="15"/>
        <v>0.22984296031803858</v>
      </c>
      <c r="R48" s="119">
        <f t="shared" si="1"/>
        <v>152399.43419999999</v>
      </c>
      <c r="S48" s="119">
        <f t="shared" si="2"/>
        <v>0.1993021833990663</v>
      </c>
      <c r="T48" s="119">
        <v>57.566039083952312</v>
      </c>
      <c r="V48" s="119">
        <v>-37960.489600000023</v>
      </c>
      <c r="W48" s="58">
        <v>71</v>
      </c>
      <c r="X48" s="119">
        <v>47.619</v>
      </c>
      <c r="Y48" s="58">
        <f t="shared" si="3"/>
        <v>6.0285653999999997</v>
      </c>
      <c r="Z48" s="58">
        <f t="shared" si="16"/>
        <v>77.028565400000005</v>
      </c>
      <c r="AA48" s="121">
        <f t="shared" si="27"/>
        <v>-37883.461034600019</v>
      </c>
      <c r="AB48" s="226">
        <f t="shared" si="21"/>
        <v>-4.9542549409997978E-2</v>
      </c>
      <c r="AC48" s="226">
        <f t="shared" si="28"/>
        <v>4.9542549409997978E-2</v>
      </c>
      <c r="AD48" s="277">
        <v>4.9643284437978275E-2</v>
      </c>
      <c r="AE48" s="119">
        <v>44.396000000000001</v>
      </c>
      <c r="AF48" s="119">
        <f t="shared" si="17"/>
        <v>65.607909180651532</v>
      </c>
      <c r="AG48" s="124">
        <f t="shared" si="18"/>
        <v>1.397968996657154E-2</v>
      </c>
      <c r="AH48" s="119">
        <f t="shared" si="4"/>
        <v>5620.5335999999998</v>
      </c>
      <c r="AI48" s="58">
        <v>381</v>
      </c>
      <c r="AJ48" s="126">
        <f t="shared" si="29"/>
        <v>6001.5335999999998</v>
      </c>
      <c r="AK48" s="119">
        <v>9.467404905977346E-2</v>
      </c>
      <c r="AL48" s="58">
        <f t="shared" si="30"/>
        <v>63391.538226181372</v>
      </c>
      <c r="AM48" s="127">
        <f t="shared" si="22"/>
        <v>7.0387843184407262E-3</v>
      </c>
      <c r="AN48" s="58">
        <f t="shared" si="5"/>
        <v>9.4674049059773466</v>
      </c>
      <c r="AO48" s="58"/>
      <c r="AP48" s="119">
        <f t="shared" si="6"/>
        <v>43581.023200000025</v>
      </c>
      <c r="AQ48" s="58"/>
      <c r="AR48" s="119">
        <v>-30492.1</v>
      </c>
      <c r="AS48" s="119">
        <v>-19901</v>
      </c>
      <c r="AT48" s="122">
        <v>97358</v>
      </c>
      <c r="AU48" s="124"/>
      <c r="AV48" s="145">
        <f t="shared" si="7"/>
        <v>0.12732108930209071</v>
      </c>
      <c r="AW48" s="119">
        <f t="shared" si="23"/>
        <v>1.5484181013626405E-2</v>
      </c>
      <c r="AX48" s="119">
        <v>684.06700000000001</v>
      </c>
      <c r="AY48" s="124"/>
      <c r="AZ48" s="119">
        <v>41848</v>
      </c>
      <c r="BA48" s="119">
        <f t="shared" si="19"/>
        <v>0.96957382114590607</v>
      </c>
      <c r="BB48" s="119">
        <f t="shared" si="20"/>
        <v>1.1410658307210031</v>
      </c>
      <c r="BC48" s="119">
        <v>1.032124352331607</v>
      </c>
      <c r="BD48" s="119">
        <f t="shared" si="31"/>
        <v>1.07503125681504E-2</v>
      </c>
      <c r="BE48" s="119">
        <f t="shared" si="24"/>
        <v>5.0581991922857124E-2</v>
      </c>
      <c r="BF48" s="119">
        <f t="shared" si="32"/>
        <v>5.8167125240866271E-2</v>
      </c>
      <c r="BG48" s="119">
        <f t="shared" si="25"/>
        <v>-1359.9726397196471</v>
      </c>
      <c r="BH48" s="124">
        <f t="shared" si="26"/>
        <v>-1.2755666452414487E-2</v>
      </c>
      <c r="BI48" s="58">
        <v>21354</v>
      </c>
      <c r="BJ48" s="58">
        <v>11894</v>
      </c>
      <c r="BK48" s="58">
        <v>33248</v>
      </c>
      <c r="BL48" s="124">
        <f t="shared" si="8"/>
        <v>2.7925948981664016E-2</v>
      </c>
      <c r="BM48" s="124">
        <f t="shared" si="9"/>
        <v>1.5554520801157243E-2</v>
      </c>
      <c r="BN48" s="124">
        <f t="shared" si="10"/>
        <v>4.348046978282126E-2</v>
      </c>
    </row>
    <row r="49" spans="1:66" s="119" customFormat="1">
      <c r="A49" s="117">
        <v>1984</v>
      </c>
      <c r="B49" s="145">
        <v>0.29807692307692291</v>
      </c>
      <c r="C49" s="119">
        <v>1352.3792391875666</v>
      </c>
      <c r="D49" s="117">
        <v>670.74544217572998</v>
      </c>
      <c r="E49" s="117">
        <v>112.36630358578952</v>
      </c>
      <c r="F49" s="117">
        <v>1402.075</v>
      </c>
      <c r="G49" s="119">
        <v>240</v>
      </c>
      <c r="H49" s="124">
        <f t="shared" si="33"/>
        <v>0.89573459715639814</v>
      </c>
      <c r="I49" s="119">
        <v>991182.09136330104</v>
      </c>
      <c r="J49" s="117">
        <v>9259698.9753414206</v>
      </c>
      <c r="K49" s="59">
        <v>4062.2216859151686</v>
      </c>
      <c r="L49" s="119">
        <v>0.70340681362725443</v>
      </c>
      <c r="M49" s="119">
        <f t="shared" si="0"/>
        <v>1993.2633190883193</v>
      </c>
      <c r="N49" s="119">
        <f t="shared" si="12"/>
        <v>3825072.3093304848</v>
      </c>
      <c r="O49" s="124">
        <f t="shared" si="13"/>
        <v>0.41308819212337816</v>
      </c>
      <c r="P49" s="119">
        <f t="shared" si="14"/>
        <v>3.4032217580868607E-2</v>
      </c>
      <c r="Q49" s="124">
        <f t="shared" si="15"/>
        <v>0.3451497993970582</v>
      </c>
      <c r="R49" s="119">
        <f t="shared" si="1"/>
        <v>336498</v>
      </c>
      <c r="S49" s="119">
        <f t="shared" si="2"/>
        <v>0.3394916059643196</v>
      </c>
      <c r="T49" s="119">
        <v>84.470801618780115</v>
      </c>
      <c r="V49" s="119">
        <v>-58232.153600000005</v>
      </c>
      <c r="W49" s="58">
        <v>988</v>
      </c>
      <c r="X49" s="119">
        <v>57.905000000000001</v>
      </c>
      <c r="Y49" s="58">
        <f t="shared" si="3"/>
        <v>13.897200000000002</v>
      </c>
      <c r="Z49" s="58">
        <f t="shared" si="16"/>
        <v>1001.8972</v>
      </c>
      <c r="AA49" s="121">
        <f t="shared" si="27"/>
        <v>-57230.256400000006</v>
      </c>
      <c r="AB49" s="226">
        <f t="shared" si="21"/>
        <v>-5.7739397128618239E-2</v>
      </c>
      <c r="AC49" s="226">
        <f t="shared" si="28"/>
        <v>5.7739397128618239E-2</v>
      </c>
      <c r="AD49" s="277">
        <v>5.8750207562674774E-2</v>
      </c>
      <c r="AE49" s="119">
        <v>62.293999999999997</v>
      </c>
      <c r="AF49" s="119">
        <f t="shared" si="17"/>
        <v>88.560415954415959</v>
      </c>
      <c r="AG49" s="124">
        <f t="shared" si="18"/>
        <v>1.8353451734132425E-2</v>
      </c>
      <c r="AH49" s="119">
        <f t="shared" si="4"/>
        <v>14950.56</v>
      </c>
      <c r="AI49" s="58">
        <v>2270</v>
      </c>
      <c r="AJ49" s="126">
        <f t="shared" si="29"/>
        <v>17220.559999999998</v>
      </c>
      <c r="AK49" s="119">
        <v>0.11388998405814489</v>
      </c>
      <c r="AL49" s="58">
        <f t="shared" si="30"/>
        <v>151203.46308248045</v>
      </c>
      <c r="AM49" s="127">
        <f t="shared" si="22"/>
        <v>1.6329198550097068E-2</v>
      </c>
      <c r="AN49" s="58">
        <f t="shared" si="5"/>
        <v>11.388998405814489</v>
      </c>
      <c r="AO49" s="58"/>
      <c r="AP49" s="119">
        <f t="shared" si="6"/>
        <v>73182.713600000017</v>
      </c>
      <c r="AQ49" s="58"/>
      <c r="AR49" s="119">
        <v>-30176.6</v>
      </c>
      <c r="AS49" s="119">
        <v>-29069</v>
      </c>
      <c r="AT49" s="122">
        <v>120126</v>
      </c>
      <c r="AU49" s="124"/>
      <c r="AV49" s="145">
        <f t="shared" si="7"/>
        <v>0.12119468364765869</v>
      </c>
      <c r="AW49" s="119">
        <f t="shared" si="23"/>
        <v>-6.1264056544320239E-3</v>
      </c>
      <c r="AX49" s="119">
        <v>669.23199999999997</v>
      </c>
      <c r="AY49" s="124"/>
      <c r="AZ49" s="119">
        <v>53703</v>
      </c>
      <c r="BA49" s="119">
        <f t="shared" si="19"/>
        <v>1.0281659944670036</v>
      </c>
      <c r="BB49" s="119">
        <f t="shared" si="20"/>
        <v>1.2980769230769229</v>
      </c>
      <c r="BC49" s="119">
        <v>1.0431726907630519</v>
      </c>
      <c r="BD49" s="119">
        <f t="shared" si="31"/>
        <v>3.1923658099887682E-2</v>
      </c>
      <c r="BE49" s="119">
        <f t="shared" si="24"/>
        <v>4.8102363624129514E-2</v>
      </c>
      <c r="BF49" s="119">
        <f t="shared" si="32"/>
        <v>4.7160291718434513E-2</v>
      </c>
      <c r="BG49" s="119">
        <f t="shared" si="25"/>
        <v>-1695.0474162961225</v>
      </c>
      <c r="BH49" s="124">
        <f t="shared" si="26"/>
        <v>-1.2673457703147706E-2</v>
      </c>
      <c r="BI49" s="58">
        <v>29454</v>
      </c>
      <c r="BJ49" s="58">
        <v>15897</v>
      </c>
      <c r="BK49" s="58">
        <v>45351</v>
      </c>
      <c r="BL49" s="124">
        <f t="shared" si="8"/>
        <v>2.9716033266388119E-2</v>
      </c>
      <c r="BM49" s="124">
        <f t="shared" si="9"/>
        <v>1.603842536958552E-2</v>
      </c>
      <c r="BN49" s="124">
        <f t="shared" si="10"/>
        <v>4.575445863597364E-2</v>
      </c>
    </row>
    <row r="50" spans="1:66" s="119" customFormat="1">
      <c r="A50" s="117">
        <v>1985</v>
      </c>
      <c r="B50" s="145">
        <v>0.23068783068783083</v>
      </c>
      <c r="C50" s="119">
        <v>1373.3530287677654</v>
      </c>
      <c r="D50" s="117">
        <v>667.24348716307986</v>
      </c>
      <c r="E50" s="117">
        <v>111.77964027754727</v>
      </c>
      <c r="F50" s="117">
        <v>1522.69</v>
      </c>
      <c r="G50" s="119">
        <v>240</v>
      </c>
      <c r="H50" s="124">
        <f t="shared" si="33"/>
        <v>0</v>
      </c>
      <c r="I50" s="119">
        <v>1307219.3706242959</v>
      </c>
      <c r="J50" s="117">
        <v>9678527.7234127894</v>
      </c>
      <c r="K50" s="59">
        <v>2964.2162599190387</v>
      </c>
      <c r="L50" s="119">
        <v>0.73012692050768202</v>
      </c>
      <c r="M50" s="119">
        <f t="shared" si="0"/>
        <v>2085.5141171088749</v>
      </c>
      <c r="N50" s="119">
        <f t="shared" si="12"/>
        <v>4002101.5907319309</v>
      </c>
      <c r="O50" s="124">
        <f t="shared" si="13"/>
        <v>0.41350313860760757</v>
      </c>
      <c r="P50" s="119">
        <f t="shared" si="14"/>
        <v>4.1494648422940594E-4</v>
      </c>
      <c r="Q50" s="124">
        <f t="shared" si="15"/>
        <v>0.51369059018709695</v>
      </c>
      <c r="R50" s="119">
        <f t="shared" si="1"/>
        <v>365445.60000000003</v>
      </c>
      <c r="S50" s="119">
        <f t="shared" si="2"/>
        <v>0.27955950486372627</v>
      </c>
      <c r="T50" s="119">
        <v>69.232519503376736</v>
      </c>
      <c r="V50" s="119">
        <v>-28714.13399999998</v>
      </c>
      <c r="W50" s="58">
        <v>908</v>
      </c>
      <c r="X50" s="119">
        <v>79.335999999999999</v>
      </c>
      <c r="Y50" s="58">
        <f t="shared" si="3"/>
        <v>19.04064</v>
      </c>
      <c r="Z50" s="58">
        <f t="shared" si="16"/>
        <v>927.04064000000005</v>
      </c>
      <c r="AA50" s="121">
        <f t="shared" si="27"/>
        <v>-27787.093359999981</v>
      </c>
      <c r="AB50" s="226">
        <f t="shared" si="21"/>
        <v>-2.1256641375142372E-2</v>
      </c>
      <c r="AC50" s="226">
        <f t="shared" si="28"/>
        <v>2.1256641375142372E-2</v>
      </c>
      <c r="AD50" s="277">
        <v>2.1965811282529276E-2</v>
      </c>
      <c r="AE50" s="119">
        <v>88.981999999999999</v>
      </c>
      <c r="AF50" s="119">
        <f t="shared" si="17"/>
        <v>121.87196157365051</v>
      </c>
      <c r="AG50" s="124">
        <f t="shared" si="18"/>
        <v>2.4164036198820595E-2</v>
      </c>
      <c r="AH50" s="119">
        <f t="shared" si="4"/>
        <v>21355.68</v>
      </c>
      <c r="AI50" s="58">
        <v>2351</v>
      </c>
      <c r="AJ50" s="126">
        <f t="shared" si="29"/>
        <v>23706.68</v>
      </c>
      <c r="AK50" s="119">
        <v>0.14260246498791498</v>
      </c>
      <c r="AL50" s="58">
        <f t="shared" si="30"/>
        <v>166243.12912128869</v>
      </c>
      <c r="AM50" s="127">
        <f t="shared" si="22"/>
        <v>1.7176489428153328E-2</v>
      </c>
      <c r="AN50" s="58">
        <f t="shared" si="5"/>
        <v>14.260246498791499</v>
      </c>
      <c r="AO50" s="58"/>
      <c r="AP50" s="119">
        <f t="shared" si="6"/>
        <v>50069.813999999977</v>
      </c>
      <c r="AQ50" s="58"/>
      <c r="AR50" s="119">
        <v>-20900.14</v>
      </c>
      <c r="AS50" s="119">
        <v>-9703</v>
      </c>
      <c r="AT50" s="122">
        <v>143499</v>
      </c>
      <c r="AU50" s="124"/>
      <c r="AV50" s="145">
        <f t="shared" si="7"/>
        <v>0.10977423011370188</v>
      </c>
      <c r="AW50" s="119">
        <f t="shared" si="23"/>
        <v>-1.1420453533956806E-2</v>
      </c>
      <c r="AX50" s="119">
        <v>578.03899999999999</v>
      </c>
      <c r="AY50" s="124"/>
      <c r="AZ50" s="119">
        <v>69563</v>
      </c>
      <c r="BA50" s="119">
        <f t="shared" si="19"/>
        <v>1.0452313567845684</v>
      </c>
      <c r="BB50" s="119">
        <f t="shared" si="20"/>
        <v>1.2306878306878308</v>
      </c>
      <c r="BC50" s="119">
        <v>1.0356111645813273</v>
      </c>
      <c r="BD50" s="119">
        <f t="shared" si="31"/>
        <v>2.6978993631846974E-2</v>
      </c>
      <c r="BE50" s="119">
        <f t="shared" si="24"/>
        <v>5.6584704812510024E-2</v>
      </c>
      <c r="BF50" s="119">
        <f t="shared" si="32"/>
        <v>4.4438282264562E-2</v>
      </c>
      <c r="BG50" s="119">
        <f t="shared" si="25"/>
        <v>-1904.686121087075</v>
      </c>
      <c r="BH50" s="124">
        <f t="shared" si="26"/>
        <v>-1.4441467618031631E-2</v>
      </c>
      <c r="BI50" s="58">
        <v>33351</v>
      </c>
      <c r="BJ50" s="58">
        <v>26975</v>
      </c>
      <c r="BK50" s="58">
        <v>60326</v>
      </c>
      <c r="BL50" s="124">
        <f t="shared" si="8"/>
        <v>2.5512932832438353E-2</v>
      </c>
      <c r="BM50" s="124">
        <f t="shared" si="9"/>
        <v>2.0635404130461592E-2</v>
      </c>
      <c r="BN50" s="124">
        <f t="shared" si="10"/>
        <v>4.6148336962899945E-2</v>
      </c>
    </row>
    <row r="51" spans="1:66" s="119" customFormat="1">
      <c r="A51" s="117">
        <v>1986</v>
      </c>
      <c r="B51" s="145">
        <v>0.24118658641444535</v>
      </c>
      <c r="C51" s="119">
        <v>1401.2647629793867</v>
      </c>
      <c r="D51" s="117">
        <v>666.90699645770144</v>
      </c>
      <c r="E51" s="117">
        <v>111.72326983598052</v>
      </c>
      <c r="F51" s="117">
        <v>1722.432</v>
      </c>
      <c r="G51" s="119">
        <v>320</v>
      </c>
      <c r="H51" s="124">
        <f t="shared" si="33"/>
        <v>0.33333333333333326</v>
      </c>
      <c r="I51" s="119">
        <v>1779709.348981041</v>
      </c>
      <c r="J51" s="117">
        <v>10159050.719603689</v>
      </c>
      <c r="K51" s="59">
        <v>3442.3778510271586</v>
      </c>
      <c r="L51" s="119">
        <v>0.73814295257181028</v>
      </c>
      <c r="M51" s="119">
        <f t="shared" si="0"/>
        <v>2333.4667004524886</v>
      </c>
      <c r="N51" s="119">
        <f t="shared" si="12"/>
        <v>4477922.5981683256</v>
      </c>
      <c r="O51" s="124">
        <f t="shared" si="13"/>
        <v>0.44078159680090778</v>
      </c>
      <c r="P51" s="119">
        <f t="shared" si="14"/>
        <v>2.7278458193300215E-2</v>
      </c>
      <c r="Q51" s="124">
        <f t="shared" si="15"/>
        <v>0.50036110925070287</v>
      </c>
      <c r="R51" s="119">
        <f t="shared" si="1"/>
        <v>551178.23999999999</v>
      </c>
      <c r="S51" s="119">
        <f t="shared" si="2"/>
        <v>0.30970126684763044</v>
      </c>
      <c r="T51" s="119">
        <v>73.383295630943152</v>
      </c>
      <c r="V51" s="119">
        <v>-25306.439999999977</v>
      </c>
      <c r="W51" s="58">
        <v>784</v>
      </c>
      <c r="X51" s="119">
        <v>90.734999999999999</v>
      </c>
      <c r="Y51" s="58">
        <f t="shared" si="3"/>
        <v>29.0352</v>
      </c>
      <c r="Z51" s="58">
        <f t="shared" si="16"/>
        <v>813.03520000000003</v>
      </c>
      <c r="AA51" s="121">
        <f t="shared" si="27"/>
        <v>-24493.404799999978</v>
      </c>
      <c r="AB51" s="226">
        <f t="shared" si="21"/>
        <v>-1.3762587028057976E-2</v>
      </c>
      <c r="AC51" s="226">
        <f t="shared" si="28"/>
        <v>1.3762587028057976E-2</v>
      </c>
      <c r="AD51" s="277">
        <v>1.4219422971784121E-2</v>
      </c>
      <c r="AE51" s="119">
        <v>120.167</v>
      </c>
      <c r="AF51" s="119">
        <f t="shared" si="17"/>
        <v>162.79637918552035</v>
      </c>
      <c r="AG51" s="124">
        <f t="shared" si="18"/>
        <v>3.0751520026784621E-2</v>
      </c>
      <c r="AH51" s="119">
        <f t="shared" si="4"/>
        <v>38453.440000000002</v>
      </c>
      <c r="AI51" s="58">
        <v>2210</v>
      </c>
      <c r="AJ51" s="126">
        <f t="shared" si="29"/>
        <v>40663.440000000002</v>
      </c>
      <c r="AK51" s="119">
        <v>0.18787961899537739</v>
      </c>
      <c r="AL51" s="58">
        <f t="shared" si="30"/>
        <v>216433.48127611697</v>
      </c>
      <c r="AM51" s="127">
        <f t="shared" si="22"/>
        <v>2.1304498545171174E-2</v>
      </c>
      <c r="AN51" s="58">
        <f t="shared" si="5"/>
        <v>18.787961899537738</v>
      </c>
      <c r="AO51" s="58"/>
      <c r="AP51" s="119">
        <f t="shared" si="6"/>
        <v>63759.879999999976</v>
      </c>
      <c r="AQ51" s="58"/>
      <c r="AR51" s="119">
        <v>11099.6</v>
      </c>
      <c r="AS51" s="119">
        <v>-30950</v>
      </c>
      <c r="AT51" s="122">
        <v>201113</v>
      </c>
      <c r="AU51" s="124"/>
      <c r="AV51" s="145">
        <f t="shared" si="7"/>
        <v>0.1130032834379084</v>
      </c>
      <c r="AW51" s="119">
        <f t="shared" si="23"/>
        <v>3.2290533242065184E-3</v>
      </c>
      <c r="AX51" s="119">
        <v>475.48500000000001</v>
      </c>
      <c r="AY51" s="124"/>
      <c r="AZ51" s="119">
        <v>92060</v>
      </c>
      <c r="BA51" s="119">
        <f t="shared" si="19"/>
        <v>1.0496483566429731</v>
      </c>
      <c r="BB51" s="119">
        <f t="shared" si="20"/>
        <v>1.2411865864144453</v>
      </c>
      <c r="BC51" s="119">
        <v>1.0185873605947968</v>
      </c>
      <c r="BD51" s="119">
        <f t="shared" si="31"/>
        <v>2.5514610097380493E-2</v>
      </c>
      <c r="BE51" s="119">
        <f t="shared" si="24"/>
        <v>5.9588622766288603E-2</v>
      </c>
      <c r="BF51" s="119">
        <f t="shared" si="32"/>
        <v>5.2924521678966177E-2</v>
      </c>
      <c r="BG51" s="119">
        <f t="shared" si="25"/>
        <v>-1975.1392800061562</v>
      </c>
      <c r="BH51" s="124">
        <f t="shared" si="26"/>
        <v>-1.102678437241247E-2</v>
      </c>
      <c r="BI51" s="58">
        <v>40396</v>
      </c>
      <c r="BJ51" s="58">
        <v>34576</v>
      </c>
      <c r="BK51" s="58">
        <v>74972</v>
      </c>
      <c r="BL51" s="124">
        <f t="shared" si="8"/>
        <v>2.2698088327247606E-2</v>
      </c>
      <c r="BM51" s="124">
        <f t="shared" si="9"/>
        <v>1.942789142496567E-2</v>
      </c>
      <c r="BN51" s="124">
        <f t="shared" si="10"/>
        <v>4.2125979752213272E-2</v>
      </c>
    </row>
    <row r="52" spans="1:66" s="119" customFormat="1">
      <c r="A52" s="117">
        <v>1987</v>
      </c>
      <c r="B52" s="145">
        <v>0.32040180117769324</v>
      </c>
      <c r="C52" s="119">
        <v>1465.7040491498608</v>
      </c>
      <c r="D52" s="117">
        <v>683.33596480937035</v>
      </c>
      <c r="E52" s="117">
        <v>114.47552475912511</v>
      </c>
      <c r="F52" s="117">
        <v>1924.1590000000001</v>
      </c>
      <c r="G52" s="119">
        <v>320</v>
      </c>
      <c r="H52" s="124">
        <f t="shared" si="33"/>
        <v>0</v>
      </c>
      <c r="I52" s="119">
        <v>2523915.3420047355</v>
      </c>
      <c r="J52" s="117">
        <v>10929340.866968166</v>
      </c>
      <c r="K52" s="59">
        <v>3778.3163802466097</v>
      </c>
      <c r="L52" s="119">
        <v>0.77087508350033407</v>
      </c>
      <c r="M52" s="119">
        <f t="shared" si="0"/>
        <v>2496.0710771230501</v>
      </c>
      <c r="N52" s="119">
        <f t="shared" si="12"/>
        <v>4789960.3969991328</v>
      </c>
      <c r="O52" s="124">
        <f t="shared" si="13"/>
        <v>0.4382661731665693</v>
      </c>
      <c r="P52" s="119">
        <f t="shared" si="14"/>
        <v>-2.5154236343384873E-3</v>
      </c>
      <c r="Q52" s="124">
        <f t="shared" si="15"/>
        <v>0.50926359953858891</v>
      </c>
      <c r="R52" s="119">
        <f t="shared" si="1"/>
        <v>615730.88</v>
      </c>
      <c r="S52" s="119">
        <f t="shared" si="2"/>
        <v>0.24395861055740781</v>
      </c>
      <c r="T52" s="119">
        <v>56.715829029091289</v>
      </c>
      <c r="V52" s="119">
        <v>-21444.968599999993</v>
      </c>
      <c r="W52" s="58">
        <v>682</v>
      </c>
      <c r="X52" s="119">
        <v>116.456</v>
      </c>
      <c r="Y52" s="58">
        <f t="shared" si="3"/>
        <v>37.265920000000001</v>
      </c>
      <c r="Z52" s="58">
        <f t="shared" si="16"/>
        <v>719.26592000000005</v>
      </c>
      <c r="AA52" s="121">
        <f t="shared" si="27"/>
        <v>-20725.702679999991</v>
      </c>
      <c r="AB52" s="226">
        <f t="shared" si="21"/>
        <v>-8.2117265722302917E-3</v>
      </c>
      <c r="AC52" s="226">
        <f t="shared" si="28"/>
        <v>8.2117265722302917E-3</v>
      </c>
      <c r="AD52" s="277">
        <v>8.4967067805714683E-3</v>
      </c>
      <c r="AE52" s="119">
        <v>178.73599999999999</v>
      </c>
      <c r="AF52" s="119">
        <f t="shared" si="17"/>
        <v>231.86117157712303</v>
      </c>
      <c r="AG52" s="124">
        <f t="shared" si="18"/>
        <v>4.0710743097166054E-2</v>
      </c>
      <c r="AH52" s="119">
        <f t="shared" si="4"/>
        <v>57195.519999999997</v>
      </c>
      <c r="AI52" s="58">
        <v>2094</v>
      </c>
      <c r="AJ52" s="126">
        <f t="shared" si="29"/>
        <v>59289.52</v>
      </c>
      <c r="AK52" s="119">
        <v>0.22884275845518279</v>
      </c>
      <c r="AL52" s="58">
        <f t="shared" si="30"/>
        <v>259084.09949363297</v>
      </c>
      <c r="AM52" s="127">
        <f t="shared" si="22"/>
        <v>2.3705372780225466E-2</v>
      </c>
      <c r="AN52" s="58">
        <f t="shared" si="5"/>
        <v>22.884275845518278</v>
      </c>
      <c r="AO52" s="58"/>
      <c r="AP52" s="119">
        <f t="shared" si="6"/>
        <v>78640.488599999997</v>
      </c>
      <c r="AQ52" s="58"/>
      <c r="AR52" s="119">
        <v>16858.009999999998</v>
      </c>
      <c r="AS52" s="119">
        <v>-49421</v>
      </c>
      <c r="AT52" s="122">
        <v>286885</v>
      </c>
      <c r="AU52" s="124"/>
      <c r="AV52" s="145">
        <f t="shared" si="7"/>
        <v>0.11366664928314452</v>
      </c>
      <c r="AW52" s="119">
        <f t="shared" si="23"/>
        <v>6.633658452361163E-4</v>
      </c>
      <c r="AX52" s="119">
        <v>526.53599999999994</v>
      </c>
      <c r="AY52" s="124"/>
      <c r="AZ52" s="119">
        <v>128309</v>
      </c>
      <c r="BA52" s="119">
        <f t="shared" si="19"/>
        <v>1.0758230437690468</v>
      </c>
      <c r="BB52" s="119">
        <f t="shared" si="20"/>
        <v>1.3204018011776932</v>
      </c>
      <c r="BC52" s="119">
        <v>1.0374087591240879</v>
      </c>
      <c r="BD52" s="119">
        <f t="shared" si="31"/>
        <v>3.3452563935403107E-2</v>
      </c>
      <c r="BE52" s="119">
        <f t="shared" si="24"/>
        <v>6.7611377401255904E-2</v>
      </c>
      <c r="BF52" s="119">
        <f t="shared" si="32"/>
        <v>5.3391558111640328E-2</v>
      </c>
      <c r="BG52" s="119">
        <f t="shared" si="25"/>
        <v>-2208.8792775137017</v>
      </c>
      <c r="BH52" s="124">
        <f t="shared" si="26"/>
        <v>-1.2558149524133349E-2</v>
      </c>
      <c r="BI52" s="58">
        <v>50101</v>
      </c>
      <c r="BJ52" s="58">
        <v>60270</v>
      </c>
      <c r="BK52" s="58">
        <v>110371</v>
      </c>
      <c r="BL52" s="124">
        <f t="shared" si="8"/>
        <v>1.9850507331281953E-2</v>
      </c>
      <c r="BM52" s="124">
        <f t="shared" si="9"/>
        <v>2.3879564816198545E-2</v>
      </c>
      <c r="BN52" s="124">
        <f t="shared" si="10"/>
        <v>4.3730072147480502E-2</v>
      </c>
    </row>
    <row r="53" spans="1:66" s="119" customFormat="1">
      <c r="A53" s="117">
        <v>1988</v>
      </c>
      <c r="B53" s="145">
        <v>0.16946484784889826</v>
      </c>
      <c r="C53" s="119">
        <v>1509.9985046544462</v>
      </c>
      <c r="D53" s="117">
        <v>689.61615544970368</v>
      </c>
      <c r="E53" s="117">
        <v>115.52761063805299</v>
      </c>
      <c r="F53" s="117">
        <v>1884.646</v>
      </c>
      <c r="G53" s="119">
        <v>400</v>
      </c>
      <c r="H53" s="124">
        <f t="shared" si="33"/>
        <v>0.25</v>
      </c>
      <c r="I53" s="119">
        <v>3429405.8003171985</v>
      </c>
      <c r="J53" s="117">
        <v>11575852.043612972</v>
      </c>
      <c r="K53" s="59">
        <v>4082.6259527585694</v>
      </c>
      <c r="L53" s="119">
        <v>0.80494321977287919</v>
      </c>
      <c r="M53" s="119">
        <f t="shared" si="0"/>
        <v>2341.3403004149372</v>
      </c>
      <c r="N53" s="119">
        <f t="shared" si="12"/>
        <v>4493032.0364962649</v>
      </c>
      <c r="O53" s="124">
        <f t="shared" si="13"/>
        <v>0.38813834347298137</v>
      </c>
      <c r="P53" s="119">
        <f t="shared" si="14"/>
        <v>-5.0127829693587922E-2</v>
      </c>
      <c r="Q53" s="124">
        <f t="shared" si="15"/>
        <v>0.46162592944048003</v>
      </c>
      <c r="R53" s="119">
        <f t="shared" si="1"/>
        <v>753858.4</v>
      </c>
      <c r="S53" s="119">
        <f t="shared" si="2"/>
        <v>0.21982187116213336</v>
      </c>
      <c r="T53" s="119">
        <v>62.13662204396141</v>
      </c>
      <c r="V53" s="119">
        <v>-47795.385599999987</v>
      </c>
      <c r="W53" s="58">
        <v>580</v>
      </c>
      <c r="X53" s="119">
        <v>117.16</v>
      </c>
      <c r="Y53" s="58">
        <f t="shared" si="3"/>
        <v>46.863999999999997</v>
      </c>
      <c r="Z53" s="58">
        <f t="shared" si="16"/>
        <v>626.86400000000003</v>
      </c>
      <c r="AA53" s="121">
        <f t="shared" si="27"/>
        <v>-47168.521599999985</v>
      </c>
      <c r="AB53" s="226">
        <f t="shared" si="21"/>
        <v>-1.3754138281225627E-2</v>
      </c>
      <c r="AC53" s="226">
        <f t="shared" si="28"/>
        <v>1.3754138281225627E-2</v>
      </c>
      <c r="AD53" s="277">
        <v>1.3936929130865533E-2</v>
      </c>
      <c r="AE53" s="119">
        <v>165.83799999999999</v>
      </c>
      <c r="AF53" s="119">
        <f t="shared" si="17"/>
        <v>206.02446970954352</v>
      </c>
      <c r="AG53" s="124">
        <f t="shared" si="18"/>
        <v>3.4153940105925609E-2</v>
      </c>
      <c r="AH53" s="119">
        <f t="shared" si="4"/>
        <v>66335.199999999997</v>
      </c>
      <c r="AI53" s="58">
        <v>2080</v>
      </c>
      <c r="AJ53" s="126">
        <f t="shared" si="29"/>
        <v>68415.199999999997</v>
      </c>
      <c r="AK53" s="119">
        <v>0.28153658912868329</v>
      </c>
      <c r="AL53" s="58">
        <f t="shared" si="30"/>
        <v>243006.42489040431</v>
      </c>
      <c r="AM53" s="127">
        <f t="shared" si="22"/>
        <v>2.0992530310067689E-2</v>
      </c>
      <c r="AN53" s="58">
        <f t="shared" si="5"/>
        <v>28.15365891286833</v>
      </c>
      <c r="AO53" s="58"/>
      <c r="AP53" s="119">
        <f t="shared" si="6"/>
        <v>114130.58559999999</v>
      </c>
      <c r="AQ53" s="58"/>
      <c r="AR53" s="119">
        <v>26470.5</v>
      </c>
      <c r="AS53" s="119">
        <v>-74594</v>
      </c>
      <c r="AT53" s="122">
        <v>354311</v>
      </c>
      <c r="AU53" s="124"/>
      <c r="AV53" s="145">
        <f t="shared" si="7"/>
        <v>0.10331556561991831</v>
      </c>
      <c r="AW53" s="119">
        <f t="shared" si="23"/>
        <v>-1.0351083663226207E-2</v>
      </c>
      <c r="AX53" s="119">
        <v>338.32400000000001</v>
      </c>
      <c r="AY53" s="124"/>
      <c r="AZ53" s="119">
        <v>159275</v>
      </c>
      <c r="BA53" s="119">
        <f t="shared" si="19"/>
        <v>1.0591537206602057</v>
      </c>
      <c r="BB53" s="119">
        <f t="shared" si="20"/>
        <v>1.1694648478488983</v>
      </c>
      <c r="BC53" s="119">
        <v>1.0400908824391633</v>
      </c>
      <c r="BD53" s="119">
        <f t="shared" si="31"/>
        <v>2.189957420681448E-2</v>
      </c>
      <c r="BE53" s="119">
        <f t="shared" si="24"/>
        <v>6.0888939011796837E-2</v>
      </c>
      <c r="BF53" s="119">
        <f t="shared" si="32"/>
        <v>6.1374716369165978E-2</v>
      </c>
      <c r="BG53" s="119">
        <f t="shared" si="25"/>
        <v>-2342.8754227273444</v>
      </c>
      <c r="BH53" s="124">
        <f t="shared" si="26"/>
        <v>-3.1373333068252358E-2</v>
      </c>
      <c r="BI53" s="58">
        <v>60684</v>
      </c>
      <c r="BJ53" s="58">
        <v>80496</v>
      </c>
      <c r="BK53" s="58">
        <v>141180</v>
      </c>
      <c r="BL53" s="124">
        <f t="shared" si="8"/>
        <v>1.7695193725509858E-2</v>
      </c>
      <c r="BM53" s="124">
        <f t="shared" si="9"/>
        <v>2.3472287820984799E-2</v>
      </c>
      <c r="BN53" s="124">
        <f t="shared" si="10"/>
        <v>4.1167481546494654E-2</v>
      </c>
    </row>
    <row r="54" spans="1:66" s="119" customFormat="1">
      <c r="A54" s="117">
        <v>1989</v>
      </c>
      <c r="B54" s="145">
        <v>0.28532974427994606</v>
      </c>
      <c r="C54" s="119">
        <v>1571.5891110512541</v>
      </c>
      <c r="D54" s="117">
        <v>703.09310599247783</v>
      </c>
      <c r="E54" s="117">
        <v>117.78533021522648</v>
      </c>
      <c r="F54" s="117">
        <v>2076.17</v>
      </c>
      <c r="G54" s="119">
        <v>1220</v>
      </c>
      <c r="H54" s="124">
        <f t="shared" si="33"/>
        <v>2.0499999999999998</v>
      </c>
      <c r="I54" s="119">
        <v>4858488.9672426693</v>
      </c>
      <c r="J54" s="117">
        <v>12378660.98717171</v>
      </c>
      <c r="K54" s="59">
        <v>4337.9365778952397</v>
      </c>
      <c r="L54" s="119">
        <v>0.8423513694054775</v>
      </c>
      <c r="M54" s="119">
        <f t="shared" si="0"/>
        <v>2464.731554321967</v>
      </c>
      <c r="N54" s="119">
        <f t="shared" si="12"/>
        <v>4729819.8527438547</v>
      </c>
      <c r="O54" s="124">
        <f t="shared" si="13"/>
        <v>0.38209462700735369</v>
      </c>
      <c r="P54" s="119">
        <f t="shared" si="14"/>
        <v>-6.0437164656276798E-3</v>
      </c>
      <c r="Q54" s="124">
        <f t="shared" si="15"/>
        <v>0.47860773497231596</v>
      </c>
      <c r="R54" s="119">
        <f t="shared" si="1"/>
        <v>2532927.4</v>
      </c>
      <c r="S54" s="119">
        <f t="shared" si="2"/>
        <v>0.52134056845198684</v>
      </c>
      <c r="T54" s="119">
        <v>155.01168273399244</v>
      </c>
      <c r="V54" s="119">
        <v>-14746.879999999976</v>
      </c>
      <c r="W54" s="58">
        <v>478</v>
      </c>
      <c r="X54" s="119">
        <v>72.111000000000004</v>
      </c>
      <c r="Y54" s="58">
        <f t="shared" si="3"/>
        <v>87.97542</v>
      </c>
      <c r="Z54" s="58">
        <f t="shared" si="16"/>
        <v>565.97541999999999</v>
      </c>
      <c r="AA54" s="121">
        <f t="shared" si="27"/>
        <v>-14180.904579999975</v>
      </c>
      <c r="AB54" s="226">
        <f t="shared" si="21"/>
        <v>-2.9187890876385052E-3</v>
      </c>
      <c r="AC54" s="226">
        <f t="shared" si="28"/>
        <v>2.9187890876385052E-3</v>
      </c>
      <c r="AD54" s="277">
        <v>3.035281154167002E-3</v>
      </c>
      <c r="AE54" s="119">
        <v>58.039000000000001</v>
      </c>
      <c r="AF54" s="119">
        <f t="shared" si="17"/>
        <v>68.901176050753378</v>
      </c>
      <c r="AG54" s="124">
        <f t="shared" si="18"/>
        <v>1.0681394132888829E-2</v>
      </c>
      <c r="AH54" s="119">
        <f t="shared" si="4"/>
        <v>70807.58</v>
      </c>
      <c r="AI54" s="58">
        <v>2120</v>
      </c>
      <c r="AJ54" s="126">
        <f t="shared" si="29"/>
        <v>72927.58</v>
      </c>
      <c r="AK54" s="119">
        <v>0.35465770722983125</v>
      </c>
      <c r="AL54" s="58">
        <f t="shared" si="30"/>
        <v>205628.07042774977</v>
      </c>
      <c r="AM54" s="127">
        <f t="shared" si="22"/>
        <v>1.6611495430793918E-2</v>
      </c>
      <c r="AN54" s="58">
        <f t="shared" si="5"/>
        <v>35.465770722983123</v>
      </c>
      <c r="AO54" s="58"/>
      <c r="AP54" s="119">
        <f t="shared" si="6"/>
        <v>85554.459999999977</v>
      </c>
      <c r="AQ54" s="58"/>
      <c r="AR54" s="119">
        <v>117765.2</v>
      </c>
      <c r="AS54" s="119">
        <v>-187677</v>
      </c>
      <c r="AT54" s="122">
        <v>450736</v>
      </c>
      <c r="AU54" s="124"/>
      <c r="AV54" s="145">
        <f t="shared" si="7"/>
        <v>9.2772877130933462E-2</v>
      </c>
      <c r="AW54" s="119">
        <f t="shared" si="23"/>
        <v>-1.0542688488984847E-2</v>
      </c>
      <c r="AX54" s="119">
        <v>448.75200000000001</v>
      </c>
      <c r="AY54" s="124"/>
      <c r="AZ54" s="119">
        <v>229907</v>
      </c>
      <c r="BA54" s="119">
        <f t="shared" si="19"/>
        <v>1.0693520391012332</v>
      </c>
      <c r="BB54" s="119">
        <f t="shared" si="20"/>
        <v>1.2853297442799461</v>
      </c>
      <c r="BC54" s="119">
        <v>1.0482700303009005</v>
      </c>
      <c r="BD54" s="119">
        <f t="shared" si="31"/>
        <v>2.8147997829765674E-2</v>
      </c>
      <c r="BE54" s="119">
        <f t="shared" si="24"/>
        <v>3.8262358023734962E-2</v>
      </c>
      <c r="BF54" s="119">
        <f t="shared" si="32"/>
        <v>5.4318095586611687E-2</v>
      </c>
      <c r="BG54" s="119">
        <f t="shared" si="25"/>
        <v>-2214.1631541762126</v>
      </c>
      <c r="BH54" s="124">
        <f t="shared" si="26"/>
        <v>-2.0359224659866566E-2</v>
      </c>
      <c r="BI54" s="58">
        <v>58107</v>
      </c>
      <c r="BJ54" s="58">
        <v>77806</v>
      </c>
      <c r="BK54" s="58">
        <v>135913</v>
      </c>
      <c r="BL54" s="124">
        <f t="shared" si="8"/>
        <v>1.1959891314310708E-2</v>
      </c>
      <c r="BM54" s="124">
        <f t="shared" si="9"/>
        <v>1.6014444104862736E-2</v>
      </c>
      <c r="BN54" s="124">
        <f t="shared" si="10"/>
        <v>2.7974335419173442E-2</v>
      </c>
    </row>
    <row r="55" spans="1:66" s="119" customFormat="1">
      <c r="A55" s="117">
        <v>1990</v>
      </c>
      <c r="B55" s="145">
        <v>0.44066317626527063</v>
      </c>
      <c r="C55" s="119">
        <v>1593.9495801873684</v>
      </c>
      <c r="D55" s="117">
        <v>698.5400755900929</v>
      </c>
      <c r="E55" s="117">
        <v>117.02258601413256</v>
      </c>
      <c r="F55" s="117">
        <v>1669.8789999999999</v>
      </c>
      <c r="G55" s="119">
        <v>1263</v>
      </c>
      <c r="H55" s="124">
        <f t="shared" si="33"/>
        <v>3.5245901639344268E-2</v>
      </c>
      <c r="I55" s="119">
        <v>7003958.8827211782</v>
      </c>
      <c r="J55" s="117">
        <v>12889068.196377208</v>
      </c>
      <c r="K55" s="59">
        <v>5719.0678284320029</v>
      </c>
      <c r="L55" s="119">
        <v>0.89378757515030072</v>
      </c>
      <c r="M55" s="119">
        <f t="shared" si="0"/>
        <v>1868.317535874439</v>
      </c>
      <c r="N55" s="119">
        <f t="shared" si="12"/>
        <v>3585301.3513430487</v>
      </c>
      <c r="O55" s="124">
        <f t="shared" si="13"/>
        <v>0.27816606264452742</v>
      </c>
      <c r="P55" s="119">
        <f t="shared" si="14"/>
        <v>-0.10392856436282627</v>
      </c>
      <c r="Q55" s="124">
        <f t="shared" si="15"/>
        <v>0.29198447196207333</v>
      </c>
      <c r="R55" s="119">
        <f t="shared" si="1"/>
        <v>2109057.1769999997</v>
      </c>
      <c r="S55" s="119">
        <f t="shared" si="2"/>
        <v>0.30112358057998606</v>
      </c>
      <c r="T55" s="119">
        <v>113.82175678915559</v>
      </c>
      <c r="V55" s="119">
        <v>360775</v>
      </c>
      <c r="W55" s="58">
        <v>382</v>
      </c>
      <c r="X55" s="119">
        <v>78.95</v>
      </c>
      <c r="Y55" s="58">
        <f t="shared" si="3"/>
        <v>99.713850000000008</v>
      </c>
      <c r="Z55" s="58">
        <f t="shared" si="16"/>
        <v>481.71384999999998</v>
      </c>
      <c r="AA55" s="121">
        <f t="shared" si="27"/>
        <v>361256.71385</v>
      </c>
      <c r="AB55" s="226">
        <f t="shared" si="21"/>
        <v>5.1578931272886701E-2</v>
      </c>
      <c r="AC55" s="226">
        <f t="shared" si="28"/>
        <v>-5.1578931272886701E-2</v>
      </c>
      <c r="AD55" s="277">
        <v>-5.151015390596235E-2</v>
      </c>
      <c r="AE55" s="119">
        <v>199.04599999999999</v>
      </c>
      <c r="AF55" s="119">
        <f t="shared" si="17"/>
        <v>222.69944843049325</v>
      </c>
      <c r="AG55" s="124">
        <f t="shared" si="18"/>
        <v>3.315679884898403E-2</v>
      </c>
      <c r="AH55" s="119">
        <f t="shared" si="4"/>
        <v>251395.098</v>
      </c>
      <c r="AI55" s="58">
        <v>2518</v>
      </c>
      <c r="AJ55" s="126">
        <f t="shared" si="29"/>
        <v>253913.098</v>
      </c>
      <c r="AK55" s="119">
        <v>0.49008348046694183</v>
      </c>
      <c r="AL55" s="58">
        <f t="shared" si="30"/>
        <v>518101.72780783515</v>
      </c>
      <c r="AM55" s="127">
        <f t="shared" si="22"/>
        <v>4.0196988635180043E-2</v>
      </c>
      <c r="AN55" s="58">
        <f t="shared" si="5"/>
        <v>49.008348046694181</v>
      </c>
      <c r="AO55" s="58"/>
      <c r="AP55" s="119">
        <f t="shared" si="6"/>
        <v>-109379.902</v>
      </c>
      <c r="AQ55" s="58"/>
      <c r="AR55" s="119">
        <v>200595.6</v>
      </c>
      <c r="AS55" s="119">
        <v>104859</v>
      </c>
      <c r="AT55" s="122">
        <v>547123</v>
      </c>
      <c r="AU55" s="124"/>
      <c r="AV55" s="145">
        <f t="shared" si="7"/>
        <v>7.8116249561338336E-2</v>
      </c>
      <c r="AW55" s="119">
        <f t="shared" si="23"/>
        <v>-1.4656627569595126E-2</v>
      </c>
      <c r="AX55" s="119">
        <v>675</v>
      </c>
      <c r="AY55" s="124"/>
      <c r="AZ55" s="119">
        <v>325268</v>
      </c>
      <c r="BA55" s="119">
        <f t="shared" si="19"/>
        <v>1.0412328287958161</v>
      </c>
      <c r="BB55" s="119">
        <f t="shared" si="20"/>
        <v>1.4406631762652706</v>
      </c>
      <c r="BC55" s="119">
        <v>1.0539795643990271</v>
      </c>
      <c r="BD55" s="119">
        <f t="shared" si="31"/>
        <v>3.0927005116881543E-2</v>
      </c>
      <c r="BE55" s="119">
        <f t="shared" si="24"/>
        <v>3.8026751181261649E-2</v>
      </c>
      <c r="BF55" s="119">
        <f t="shared" si="32"/>
        <v>3.4865162062675509E-2</v>
      </c>
      <c r="BG55" s="119">
        <f t="shared" si="25"/>
        <v>-2378.7982892395416</v>
      </c>
      <c r="BH55" s="124">
        <f t="shared" si="26"/>
        <v>-2.0551543390728604E-2</v>
      </c>
      <c r="BI55" s="58">
        <v>74196</v>
      </c>
      <c r="BJ55" s="58">
        <v>142688</v>
      </c>
      <c r="BK55" s="58">
        <v>216884</v>
      </c>
      <c r="BL55" s="124">
        <f t="shared" si="8"/>
        <v>1.0593437403386551E-2</v>
      </c>
      <c r="BM55" s="124">
        <f t="shared" si="9"/>
        <v>2.037247824969567E-2</v>
      </c>
      <c r="BN55" s="124">
        <f t="shared" si="10"/>
        <v>3.096591565308222E-2</v>
      </c>
    </row>
    <row r="56" spans="1:66" s="119" customFormat="1">
      <c r="A56" s="117">
        <v>1991</v>
      </c>
      <c r="B56" s="145">
        <v>0.11811023622047245</v>
      </c>
      <c r="C56" s="119">
        <v>1608.0072835595936</v>
      </c>
      <c r="D56" s="117">
        <v>690.31558346234078</v>
      </c>
      <c r="E56" s="117">
        <v>115.64478197528855</v>
      </c>
      <c r="F56" s="117">
        <v>1636.72</v>
      </c>
      <c r="G56" s="119">
        <v>1352</v>
      </c>
      <c r="H56" s="124">
        <f t="shared" si="33"/>
        <v>7.0467141726049176E-2</v>
      </c>
      <c r="I56" s="119">
        <v>9255684.1593739633</v>
      </c>
      <c r="J56" s="117">
        <v>13339367.147406742</v>
      </c>
      <c r="K56" s="59">
        <v>7000.8194067384393</v>
      </c>
      <c r="L56" s="119">
        <v>0.92117568470273881</v>
      </c>
      <c r="M56" s="119">
        <f t="shared" si="0"/>
        <v>1776.7729079042786</v>
      </c>
      <c r="N56" s="119">
        <f t="shared" si="12"/>
        <v>3409627.2102683107</v>
      </c>
      <c r="O56" s="124">
        <f t="shared" si="13"/>
        <v>0.25560636967182987</v>
      </c>
      <c r="P56" s="119">
        <f t="shared" si="14"/>
        <v>-2.2559692972697554E-2</v>
      </c>
      <c r="Q56" s="124">
        <f t="shared" si="15"/>
        <v>0.2337897758688964</v>
      </c>
      <c r="R56" s="119">
        <f t="shared" si="1"/>
        <v>2212845.44</v>
      </c>
      <c r="S56" s="119">
        <f t="shared" si="2"/>
        <v>0.23907961873989361</v>
      </c>
      <c r="T56" s="119">
        <v>111.35464721920027</v>
      </c>
      <c r="V56" s="119">
        <v>169426</v>
      </c>
      <c r="W56" s="58">
        <v>427</v>
      </c>
      <c r="X56" s="119">
        <v>90.400999999999996</v>
      </c>
      <c r="Y56" s="58">
        <f t="shared" si="3"/>
        <v>122.22215200000001</v>
      </c>
      <c r="Z56" s="58">
        <f t="shared" si="16"/>
        <v>549.22215200000005</v>
      </c>
      <c r="AA56" s="121">
        <f t="shared" si="27"/>
        <v>169975.222152</v>
      </c>
      <c r="AB56" s="226">
        <f t="shared" si="21"/>
        <v>1.836441469103639E-2</v>
      </c>
      <c r="AC56" s="226">
        <f t="shared" si="28"/>
        <v>-1.836441469103639E-2</v>
      </c>
      <c r="AD56" s="277">
        <v>-1.8305075787229504E-2</v>
      </c>
      <c r="AE56" s="119">
        <v>128.48699999999999</v>
      </c>
      <c r="AF56" s="119">
        <f t="shared" si="17"/>
        <v>139.48153662073966</v>
      </c>
      <c r="AG56" s="124">
        <f t="shared" si="18"/>
        <v>2.0065799660311114E-2</v>
      </c>
      <c r="AH56" s="119">
        <f t="shared" si="4"/>
        <v>173714.424</v>
      </c>
      <c r="AI56" s="58">
        <v>151227</v>
      </c>
      <c r="AJ56" s="126">
        <f t="shared" si="29"/>
        <v>324941.424</v>
      </c>
      <c r="AK56" s="119">
        <v>0.6090302895246581</v>
      </c>
      <c r="AL56" s="58">
        <f t="shared" si="30"/>
        <v>533539.02029012947</v>
      </c>
      <c r="AM56" s="127">
        <f t="shared" si="22"/>
        <v>3.999732628948989E-2</v>
      </c>
      <c r="AN56" s="58">
        <f t="shared" si="5"/>
        <v>60.90302895246581</v>
      </c>
      <c r="AO56" s="58"/>
      <c r="AP56" s="119">
        <f t="shared" si="6"/>
        <v>4288.4239999999972</v>
      </c>
      <c r="AQ56" s="58"/>
      <c r="AR56" s="119">
        <v>-3503.9999999997672</v>
      </c>
      <c r="AS56" s="119">
        <v>127906</v>
      </c>
      <c r="AT56" s="122">
        <v>687580</v>
      </c>
      <c r="AU56" s="124"/>
      <c r="AV56" s="145">
        <f t="shared" si="7"/>
        <v>7.4287323136845954E-2</v>
      </c>
      <c r="AW56" s="119">
        <f t="shared" si="23"/>
        <v>-3.8289264244923821E-3</v>
      </c>
      <c r="AX56" s="119">
        <v>975</v>
      </c>
      <c r="AY56" s="124"/>
      <c r="AZ56" s="119">
        <v>424016</v>
      </c>
      <c r="BA56" s="119">
        <f t="shared" si="19"/>
        <v>1.0349365015506786</v>
      </c>
      <c r="BB56" s="119">
        <f t="shared" si="20"/>
        <v>1.1181102362204725</v>
      </c>
      <c r="BC56" s="119">
        <v>1.0423496396453913</v>
      </c>
      <c r="BD56" s="119">
        <f t="shared" si="31"/>
        <v>1.0610143675904992E-2</v>
      </c>
      <c r="BE56" s="119">
        <f t="shared" si="24"/>
        <v>5.4136257776761072E-2</v>
      </c>
      <c r="BF56" s="119">
        <f t="shared" si="32"/>
        <v>3.5250241598569536E-2</v>
      </c>
      <c r="BG56" s="119">
        <f t="shared" si="25"/>
        <v>-1802.4588913520211</v>
      </c>
      <c r="BH56" s="124">
        <f t="shared" si="26"/>
        <v>-1.5853603983768928E-2</v>
      </c>
    </row>
    <row r="57" spans="1:66" s="119" customFormat="1">
      <c r="A57" s="117">
        <v>1992</v>
      </c>
      <c r="B57" s="145">
        <v>0.17811484290357549</v>
      </c>
      <c r="C57" s="119">
        <v>1594.9001083053929</v>
      </c>
      <c r="D57" s="117">
        <v>670.7119930729873</v>
      </c>
      <c r="E57" s="117">
        <v>112.36070004114036</v>
      </c>
      <c r="F57" s="117">
        <v>1248.807</v>
      </c>
      <c r="G57" s="119">
        <v>1600</v>
      </c>
      <c r="H57" s="124">
        <f t="shared" si="33"/>
        <v>0.18343195266272194</v>
      </c>
      <c r="I57" s="119">
        <v>10738283.273766331</v>
      </c>
      <c r="J57" s="117">
        <v>13565659.908216847</v>
      </c>
      <c r="K57" s="59">
        <v>7178.958594062763</v>
      </c>
      <c r="L57" s="119">
        <v>0.94789579158316639</v>
      </c>
      <c r="M57" s="119">
        <f t="shared" ref="M57:M79" si="34">+F57/L57</f>
        <v>1317.4517822410148</v>
      </c>
      <c r="N57" s="119">
        <f t="shared" ref="N57:N79" si="35">+M57*$G$59</f>
        <v>2528189.9701205073</v>
      </c>
      <c r="O57" s="124">
        <f t="shared" ref="O57:O79" si="36">+N57/J57</f>
        <v>0.18636689901013653</v>
      </c>
      <c r="P57" s="119">
        <f t="shared" si="14"/>
        <v>-6.9239470661693336E-2</v>
      </c>
      <c r="Q57" s="124">
        <f t="shared" si="15"/>
        <v>0.17395378224256716</v>
      </c>
      <c r="R57" s="119">
        <f t="shared" ref="R57:R79" si="37">+F57*G57</f>
        <v>1998091.2</v>
      </c>
      <c r="S57" s="119">
        <f t="shared" ref="S57:S79" si="38">+R57/I57</f>
        <v>0.18607175365557219</v>
      </c>
      <c r="T57" s="119">
        <v>117.32697215105712</v>
      </c>
      <c r="V57" s="119">
        <v>20749</v>
      </c>
      <c r="W57" s="58">
        <v>176</v>
      </c>
      <c r="X57" s="119">
        <v>248.19499999999999</v>
      </c>
      <c r="Y57" s="58">
        <f t="shared" ref="Y57:Y81" si="39">+X57*G57/1000</f>
        <v>397.11200000000002</v>
      </c>
      <c r="Z57" s="58">
        <f t="shared" si="16"/>
        <v>573.11200000000008</v>
      </c>
      <c r="AA57" s="121">
        <f t="shared" si="27"/>
        <v>21322.112000000001</v>
      </c>
      <c r="AB57" s="226">
        <f t="shared" si="21"/>
        <v>1.9856164580878588E-3</v>
      </c>
      <c r="AC57" s="226">
        <f t="shared" si="28"/>
        <v>-1.9856164580878588E-3</v>
      </c>
      <c r="AD57" s="277">
        <v>-1.932245543446399E-3</v>
      </c>
      <c r="AE57" s="119">
        <v>381.161</v>
      </c>
      <c r="AF57" s="119">
        <f t="shared" si="17"/>
        <v>402.11276744186046</v>
      </c>
      <c r="AG57" s="124">
        <f t="shared" si="18"/>
        <v>5.6882923937488061E-2</v>
      </c>
      <c r="AH57" s="119">
        <f t="shared" ref="AH57:AH78" si="40">+AE57*G57</f>
        <v>609857.6</v>
      </c>
      <c r="AI57" s="58">
        <v>2082</v>
      </c>
      <c r="AJ57" s="126">
        <f t="shared" si="29"/>
        <v>611939.6</v>
      </c>
      <c r="AK57" s="119">
        <v>0.70112735770894385</v>
      </c>
      <c r="AL57" s="58">
        <f t="shared" si="30"/>
        <v>872793.78456949606</v>
      </c>
      <c r="AM57" s="127">
        <f t="shared" si="22"/>
        <v>6.4338468638804422E-2</v>
      </c>
      <c r="AN57" s="58">
        <f t="shared" si="5"/>
        <v>70.112735770894389</v>
      </c>
      <c r="AO57" s="58"/>
      <c r="AP57" s="119">
        <f t="shared" si="6"/>
        <v>589108.6</v>
      </c>
      <c r="AQ57" s="58"/>
      <c r="AR57" s="119">
        <v>-36380.149999999674</v>
      </c>
      <c r="AS57" s="119">
        <v>88571</v>
      </c>
      <c r="AT57" s="122">
        <v>901981</v>
      </c>
      <c r="AU57" s="124"/>
      <c r="AV57" s="145">
        <f t="shared" ref="AV57:AV79" si="41">+AT57/I57</f>
        <v>8.3996759724484379E-2</v>
      </c>
      <c r="AW57" s="119">
        <f t="shared" si="23"/>
        <v>9.7094365876384259E-3</v>
      </c>
      <c r="AX57" s="119">
        <v>610.70000000000005</v>
      </c>
      <c r="AY57" s="124"/>
      <c r="AZ57" s="119">
        <v>577743</v>
      </c>
      <c r="BA57" s="119">
        <f t="shared" si="19"/>
        <v>1.0169642801123513</v>
      </c>
      <c r="BB57" s="119">
        <f t="shared" si="20"/>
        <v>1.1781148429035755</v>
      </c>
      <c r="BC57" s="119">
        <v>1.0302881967814954</v>
      </c>
      <c r="BD57" s="119">
        <f t="shared" si="31"/>
        <v>1.2283083990338856E-2</v>
      </c>
      <c r="BE57" s="119">
        <f t="shared" si="24"/>
        <v>0.15164169803020675</v>
      </c>
      <c r="BF57" s="119">
        <f t="shared" si="32"/>
        <v>5.1668256622476323E-2</v>
      </c>
      <c r="BG57" s="119">
        <f t="shared" si="25"/>
        <v>-1684.9701493388168</v>
      </c>
      <c r="BH57" s="124">
        <f t="shared" si="26"/>
        <v>-1.3885121801744234E-2</v>
      </c>
    </row>
    <row r="58" spans="1:66" s="119" customFormat="1">
      <c r="A58" s="117">
        <v>1993</v>
      </c>
      <c r="B58" s="145">
        <v>0.20406474158543286</v>
      </c>
      <c r="C58" s="119">
        <v>1633.2410481633262</v>
      </c>
      <c r="D58" s="117">
        <v>672.81519284491048</v>
      </c>
      <c r="E58" s="117">
        <v>112.7130375587937</v>
      </c>
      <c r="F58" s="117">
        <v>1217.4939999999999</v>
      </c>
      <c r="G58" s="119">
        <v>1822</v>
      </c>
      <c r="H58" s="124">
        <f t="shared" si="33"/>
        <v>0.13874999999999993</v>
      </c>
      <c r="I58" s="119">
        <v>12645361.493907506</v>
      </c>
      <c r="J58" s="117">
        <v>14235309.638271177</v>
      </c>
      <c r="K58" s="59">
        <v>7272.1021653169864</v>
      </c>
      <c r="L58" s="119">
        <v>0.97394789579158325</v>
      </c>
      <c r="M58" s="119">
        <f t="shared" si="34"/>
        <v>1250.0607119341562</v>
      </c>
      <c r="N58" s="119">
        <f t="shared" si="35"/>
        <v>2398866.5062016458</v>
      </c>
      <c r="O58" s="124">
        <f t="shared" si="36"/>
        <v>0.16851523199413729</v>
      </c>
      <c r="P58" s="119">
        <f t="shared" ref="P58:P79" si="42">+O58-O57</f>
        <v>-1.7851667015999245E-2</v>
      </c>
      <c r="Q58" s="124">
        <f t="shared" si="15"/>
        <v>0.16741981511297016</v>
      </c>
      <c r="R58" s="119">
        <f t="shared" si="37"/>
        <v>2218274.068</v>
      </c>
      <c r="S58" s="119">
        <f t="shared" si="38"/>
        <v>0.1754219576141621</v>
      </c>
      <c r="T58" s="119">
        <v>111.78882914960975</v>
      </c>
      <c r="V58" s="119">
        <v>199412</v>
      </c>
      <c r="W58" s="58">
        <v>76</v>
      </c>
      <c r="X58" s="119">
        <v>83.823999999999998</v>
      </c>
      <c r="Y58" s="58">
        <f t="shared" si="39"/>
        <v>152.727328</v>
      </c>
      <c r="Z58" s="58">
        <f t="shared" si="16"/>
        <v>228.727328</v>
      </c>
      <c r="AA58" s="121">
        <f t="shared" si="27"/>
        <v>199640.72732800001</v>
      </c>
      <c r="AB58" s="226">
        <f t="shared" si="21"/>
        <v>1.5787664704104053E-2</v>
      </c>
      <c r="AC58" s="226">
        <f t="shared" si="28"/>
        <v>-1.5787664704104053E-2</v>
      </c>
      <c r="AD58" s="277">
        <v>-1.5769576859947898E-2</v>
      </c>
      <c r="AE58" s="119">
        <v>148.93899999999999</v>
      </c>
      <c r="AF58" s="119">
        <f t="shared" ref="AF58:AF81" si="43">+AE58/L58</f>
        <v>152.9229650205761</v>
      </c>
      <c r="AG58" s="124">
        <f t="shared" ref="AG58:AG81" si="44">+AF58*$G$59/J58</f>
        <v>2.0614877886851853E-2</v>
      </c>
      <c r="AH58" s="119">
        <f t="shared" si="40"/>
        <v>271366.85800000001</v>
      </c>
      <c r="AI58" s="58">
        <v>2004</v>
      </c>
      <c r="AJ58" s="126">
        <f t="shared" si="29"/>
        <v>273370.85800000001</v>
      </c>
      <c r="AK58" s="119">
        <v>0.82913074035346346</v>
      </c>
      <c r="AL58" s="58">
        <f t="shared" si="30"/>
        <v>329707.78273576056</v>
      </c>
      <c r="AM58" s="127">
        <f t="shared" si="22"/>
        <v>2.3161265270222973E-2</v>
      </c>
      <c r="AN58" s="58">
        <f t="shared" si="5"/>
        <v>82.913074035346341</v>
      </c>
      <c r="AO58" s="58"/>
      <c r="AP58" s="119">
        <f t="shared" si="6"/>
        <v>71954.857999999993</v>
      </c>
      <c r="AQ58" s="58"/>
      <c r="AR58" s="119">
        <v>54739.449999999721</v>
      </c>
      <c r="AS58" s="119">
        <v>95436</v>
      </c>
      <c r="AT58" s="122">
        <v>1053311</v>
      </c>
      <c r="AU58" s="124"/>
      <c r="AV58" s="145">
        <f t="shared" si="41"/>
        <v>8.3296234789925289E-2</v>
      </c>
      <c r="AW58" s="119">
        <f t="shared" si="23"/>
        <v>-7.0052493455909082E-4</v>
      </c>
      <c r="AX58" s="119">
        <v>697.7</v>
      </c>
      <c r="AY58" s="124"/>
      <c r="AZ58" s="119">
        <v>698486</v>
      </c>
      <c r="BA58" s="119">
        <f t="shared" ref="BA58:BA79" si="45">+J58/J57</f>
        <v>1.0493635941476549</v>
      </c>
      <c r="BB58" s="119">
        <f t="shared" ref="BB58:BB79" si="46">+B58+1</f>
        <v>1.2040647415854329</v>
      </c>
      <c r="BC58" s="119">
        <v>1.0295165696638522</v>
      </c>
      <c r="BD58" s="119">
        <f t="shared" si="31"/>
        <v>1.7517419487520041E-2</v>
      </c>
      <c r="BE58" s="119">
        <f t="shared" ref="BE58:BE79" si="47">+X58/F57</f>
        <v>6.7123262441674325E-2</v>
      </c>
      <c r="BF58" s="119">
        <f t="shared" si="32"/>
        <v>0.14036515352667991</v>
      </c>
      <c r="BG58" s="119">
        <f t="shared" si="25"/>
        <v>-1132.5274605627567</v>
      </c>
      <c r="BH58" s="124">
        <f t="shared" si="26"/>
        <v>-7.9557627430736928E-3</v>
      </c>
    </row>
    <row r="59" spans="1:66" s="119" customFormat="1">
      <c r="A59" s="117">
        <v>1994</v>
      </c>
      <c r="B59" s="145">
        <v>0.18276941877339037</v>
      </c>
      <c r="C59" s="119">
        <v>1679.5928754599747</v>
      </c>
      <c r="D59" s="117">
        <v>677.78576845499822</v>
      </c>
      <c r="E59" s="117">
        <v>113.54573081748735</v>
      </c>
      <c r="F59" s="117">
        <v>1240.2619999999999</v>
      </c>
      <c r="G59" s="119">
        <v>1919</v>
      </c>
      <c r="H59" s="124">
        <f t="shared" si="33"/>
        <v>5.323819978046096E-2</v>
      </c>
      <c r="I59" s="119">
        <v>14992331.683506493</v>
      </c>
      <c r="J59" s="117">
        <v>14992331.683506493</v>
      </c>
      <c r="K59" s="59">
        <v>7875.368097028545</v>
      </c>
      <c r="L59" s="119">
        <v>1</v>
      </c>
      <c r="M59" s="119">
        <f t="shared" si="34"/>
        <v>1240.2619999999999</v>
      </c>
      <c r="N59" s="119">
        <f t="shared" si="35"/>
        <v>2380062.7779999999</v>
      </c>
      <c r="O59" s="124">
        <f t="shared" si="36"/>
        <v>0.15875200924339056</v>
      </c>
      <c r="P59" s="119">
        <f t="shared" si="42"/>
        <v>-9.7632227507467306E-3</v>
      </c>
      <c r="Q59" s="124">
        <f t="shared" si="15"/>
        <v>0.15748622600484707</v>
      </c>
      <c r="R59" s="119">
        <f t="shared" si="37"/>
        <v>2380062.7779999999</v>
      </c>
      <c r="S59" s="119">
        <f t="shared" si="38"/>
        <v>0.15875200924339056</v>
      </c>
      <c r="T59" s="119">
        <v>100</v>
      </c>
      <c r="V59" s="119">
        <v>429355</v>
      </c>
      <c r="W59" s="58">
        <v>0</v>
      </c>
      <c r="X59" s="119">
        <v>82.805999999999997</v>
      </c>
      <c r="Y59" s="58">
        <f t="shared" si="39"/>
        <v>158.90471400000001</v>
      </c>
      <c r="Z59" s="58">
        <f t="shared" si="16"/>
        <v>158.90471400000001</v>
      </c>
      <c r="AA59" s="121">
        <f t="shared" si="27"/>
        <v>429513.904714</v>
      </c>
      <c r="AB59" s="226">
        <f t="shared" ref="AB59:AB81" si="48">+AA59/I59</f>
        <v>2.8648906239615881E-2</v>
      </c>
      <c r="AC59" s="226">
        <f t="shared" si="28"/>
        <v>-2.8648906239615881E-2</v>
      </c>
      <c r="AD59" s="277">
        <v>-2.8638307173549669E-2</v>
      </c>
      <c r="AE59" s="119">
        <v>139.38800000000001</v>
      </c>
      <c r="AF59" s="119">
        <f t="shared" si="43"/>
        <v>139.38800000000001</v>
      </c>
      <c r="AG59" s="124">
        <f t="shared" si="44"/>
        <v>1.784149241403649E-2</v>
      </c>
      <c r="AH59" s="119">
        <f t="shared" si="40"/>
        <v>267485.57199999999</v>
      </c>
      <c r="AI59" s="58">
        <v>4</v>
      </c>
      <c r="AJ59" s="126">
        <f t="shared" si="29"/>
        <v>267489.57199999999</v>
      </c>
      <c r="AK59" s="119">
        <v>1</v>
      </c>
      <c r="AL59" s="58">
        <f t="shared" si="30"/>
        <v>267489.57199999999</v>
      </c>
      <c r="AM59" s="127">
        <f t="shared" ref="AM59:AM79" si="49">+AL59/J59</f>
        <v>1.7841759217098511E-2</v>
      </c>
      <c r="AN59" s="58">
        <f t="shared" si="5"/>
        <v>100</v>
      </c>
      <c r="AO59" s="58"/>
      <c r="AP59" s="119">
        <f t="shared" si="6"/>
        <v>-161869.42800000001</v>
      </c>
      <c r="AQ59" s="58"/>
      <c r="AR59" s="119">
        <v>198702.1</v>
      </c>
      <c r="AS59" s="119">
        <v>59172</v>
      </c>
      <c r="AT59" s="122">
        <v>1342253</v>
      </c>
      <c r="AU59" s="124"/>
      <c r="AV59" s="145">
        <f t="shared" si="41"/>
        <v>8.9529302601852934E-2</v>
      </c>
      <c r="AW59" s="119">
        <f t="shared" si="23"/>
        <v>6.233067811927645E-3</v>
      </c>
      <c r="AX59" s="119">
        <v>1044.0999999999999</v>
      </c>
      <c r="AY59" s="124"/>
      <c r="AZ59" s="119">
        <v>870031</v>
      </c>
      <c r="BA59" s="119">
        <f t="shared" si="45"/>
        <v>1.0531791766018272</v>
      </c>
      <c r="BB59" s="119">
        <f t="shared" si="46"/>
        <v>1.1827694187733904</v>
      </c>
      <c r="BC59" s="119">
        <v>1.0260744159215469</v>
      </c>
      <c r="BD59" s="119">
        <f t="shared" si="31"/>
        <v>1.6427513273769595E-2</v>
      </c>
      <c r="BE59" s="119">
        <f t="shared" si="47"/>
        <v>6.8013476863130334E-2</v>
      </c>
      <c r="BF59" s="119">
        <f t="shared" si="32"/>
        <v>6.2114348433614609E-2</v>
      </c>
      <c r="BG59" s="119">
        <f t="shared" ref="BG59:BG79" si="50">+((BF59*M58)-M58)</f>
        <v>-1172.4140053099056</v>
      </c>
      <c r="BH59" s="124">
        <f t="shared" ref="BH59:BH79" si="51">+BG59*T60/J59</f>
        <v>-7.4392329635594922E-3</v>
      </c>
    </row>
    <row r="60" spans="1:66" s="119" customFormat="1">
      <c r="A60" s="117">
        <v>1995</v>
      </c>
      <c r="B60" s="145">
        <v>0.10533159947984405</v>
      </c>
      <c r="C60" s="119">
        <v>1753.0271253087849</v>
      </c>
      <c r="D60" s="117">
        <v>692.97884485029294</v>
      </c>
      <c r="E60" s="117">
        <v>116.09094354244914</v>
      </c>
      <c r="F60" s="117">
        <v>1406.789</v>
      </c>
      <c r="G60" s="119">
        <v>1977</v>
      </c>
      <c r="H60" s="124">
        <f t="shared" si="33"/>
        <v>3.0224075039082754E-2</v>
      </c>
      <c r="I60" s="119">
        <v>17789145.328094486</v>
      </c>
      <c r="J60" s="117">
        <v>16015230.034361625</v>
      </c>
      <c r="K60" s="59">
        <v>9071.7418932767087</v>
      </c>
      <c r="L60" s="119">
        <v>1.0253841015364062</v>
      </c>
      <c r="M60" s="119">
        <f t="shared" si="34"/>
        <v>1371.9629530944624</v>
      </c>
      <c r="N60" s="119">
        <f t="shared" si="35"/>
        <v>2632796.9069882734</v>
      </c>
      <c r="O60" s="124">
        <f t="shared" si="36"/>
        <v>0.1643933244380163</v>
      </c>
      <c r="P60" s="119">
        <f t="shared" si="42"/>
        <v>5.64131519462574E-3</v>
      </c>
      <c r="Q60" s="124">
        <f t="shared" si="15"/>
        <v>0.15507374620552267</v>
      </c>
      <c r="R60" s="119">
        <f t="shared" si="37"/>
        <v>2781221.8530000001</v>
      </c>
      <c r="S60" s="119">
        <f t="shared" si="38"/>
        <v>0.15634375916911547</v>
      </c>
      <c r="T60" s="119">
        <v>95.129747303792769</v>
      </c>
      <c r="V60" s="119">
        <v>193567</v>
      </c>
      <c r="W60" s="58">
        <v>14604</v>
      </c>
      <c r="X60" s="119">
        <v>64.617000000000004</v>
      </c>
      <c r="Y60" s="58">
        <f t="shared" si="39"/>
        <v>127.747809</v>
      </c>
      <c r="Z60" s="58">
        <f t="shared" si="16"/>
        <v>14731.747809</v>
      </c>
      <c r="AA60" s="121">
        <f t="shared" si="27"/>
        <v>208298.74780899999</v>
      </c>
      <c r="AB60" s="226">
        <f t="shared" si="48"/>
        <v>1.17093173374683E-2</v>
      </c>
      <c r="AC60" s="226">
        <f t="shared" si="28"/>
        <v>-1.17093173374683E-2</v>
      </c>
      <c r="AD60" s="277">
        <v>-1.0881186050815981E-2</v>
      </c>
      <c r="AE60" s="119">
        <v>138.09800000000001</v>
      </c>
      <c r="AF60" s="119">
        <f t="shared" si="43"/>
        <v>134.67928729641693</v>
      </c>
      <c r="AG60" s="124">
        <f t="shared" si="44"/>
        <v>1.6137735878117596E-2</v>
      </c>
      <c r="AH60" s="119">
        <f t="shared" si="40"/>
        <v>273019.74600000004</v>
      </c>
      <c r="AI60" s="58">
        <v>40797</v>
      </c>
      <c r="AJ60" s="126">
        <f t="shared" si="29"/>
        <v>313816.74600000004</v>
      </c>
      <c r="AK60" s="119">
        <v>1.1339193399688141</v>
      </c>
      <c r="AL60" s="58">
        <f t="shared" si="30"/>
        <v>276754.02909049147</v>
      </c>
      <c r="AM60" s="127">
        <f t="shared" si="49"/>
        <v>1.7280677735923823E-2</v>
      </c>
      <c r="AN60" s="58">
        <f t="shared" si="5"/>
        <v>113.39193399688141</v>
      </c>
      <c r="AO60" s="58"/>
      <c r="AP60" s="119">
        <f t="shared" si="6"/>
        <v>79452.746000000043</v>
      </c>
      <c r="AQ60" s="58"/>
      <c r="AR60" s="119">
        <v>-24175</v>
      </c>
      <c r="AS60" s="119">
        <v>213403</v>
      </c>
      <c r="AT60" s="122">
        <v>1650909</v>
      </c>
      <c r="AU60" s="124"/>
      <c r="AV60" s="145">
        <f t="shared" si="41"/>
        <v>9.2804289894282396E-2</v>
      </c>
      <c r="AW60" s="119">
        <f t="shared" si="23"/>
        <v>3.2749872924294626E-3</v>
      </c>
      <c r="AX60" s="119">
        <v>1106.5</v>
      </c>
      <c r="AY60" s="124"/>
      <c r="AZ60" s="119">
        <v>1035739</v>
      </c>
      <c r="BA60" s="119">
        <f t="shared" si="45"/>
        <v>1.0682281030361978</v>
      </c>
      <c r="BB60" s="119">
        <f t="shared" si="46"/>
        <v>1.1053315994798441</v>
      </c>
      <c r="BC60" s="119">
        <v>1.0280541968853647</v>
      </c>
      <c r="BD60" s="119">
        <f t="shared" si="31"/>
        <v>1.3704966510492729E-2</v>
      </c>
      <c r="BE60" s="119">
        <f t="shared" si="47"/>
        <v>5.2099475755928992E-2</v>
      </c>
      <c r="BF60" s="119">
        <f t="shared" si="32"/>
        <v>6.1931980308376648E-2</v>
      </c>
      <c r="BG60" s="119">
        <f t="shared" si="50"/>
        <v>-1163.4501182387721</v>
      </c>
      <c r="BH60" s="124">
        <f t="shared" si="51"/>
        <v>-6.9648617817320334E-3</v>
      </c>
    </row>
    <row r="61" spans="1:66" s="119" customFormat="1">
      <c r="A61" s="117">
        <v>1996</v>
      </c>
      <c r="B61" s="145">
        <v>8.1764705882352962E-2</v>
      </c>
      <c r="C61" s="119">
        <v>1740.8444936751782</v>
      </c>
      <c r="D61" s="117">
        <v>674.11538262332977</v>
      </c>
      <c r="E61" s="117">
        <v>112.93085121830526</v>
      </c>
      <c r="F61" s="117">
        <v>1398.865</v>
      </c>
      <c r="G61" s="119">
        <v>2110</v>
      </c>
      <c r="H61" s="124">
        <f t="shared" si="33"/>
        <v>6.7273646939807863E-2</v>
      </c>
      <c r="I61" s="119">
        <v>20132862.098148197</v>
      </c>
      <c r="J61" s="117">
        <v>16267275.343454966</v>
      </c>
      <c r="K61" s="59">
        <v>9796.028022233706</v>
      </c>
      <c r="L61" s="119">
        <v>1.0594522378089513</v>
      </c>
      <c r="M61" s="119">
        <f t="shared" si="34"/>
        <v>1320.3662704918033</v>
      </c>
      <c r="N61" s="119">
        <f t="shared" si="35"/>
        <v>2533782.8730737707</v>
      </c>
      <c r="O61" s="124">
        <f t="shared" si="36"/>
        <v>0.1557595122463592</v>
      </c>
      <c r="P61" s="119">
        <f t="shared" si="42"/>
        <v>-8.6338121916570976E-3</v>
      </c>
      <c r="Q61" s="124">
        <f t="shared" si="15"/>
        <v>0.14279920359813636</v>
      </c>
      <c r="R61" s="119">
        <f t="shared" si="37"/>
        <v>2951605.15</v>
      </c>
      <c r="S61" s="119">
        <f t="shared" si="38"/>
        <v>0.1466063362283441</v>
      </c>
      <c r="T61" s="119">
        <v>95.873352749172525</v>
      </c>
      <c r="V61" s="119">
        <v>191595</v>
      </c>
      <c r="W61" s="58">
        <v>10534</v>
      </c>
      <c r="X61" s="119">
        <v>59.956000000000003</v>
      </c>
      <c r="Y61" s="58">
        <f t="shared" si="39"/>
        <v>126.50716</v>
      </c>
      <c r="Z61" s="58">
        <f t="shared" si="16"/>
        <v>10660.507159999999</v>
      </c>
      <c r="AA61" s="121">
        <f t="shared" si="27"/>
        <v>202255.50716000001</v>
      </c>
      <c r="AB61" s="226">
        <f t="shared" si="48"/>
        <v>1.0046038470536353E-2</v>
      </c>
      <c r="AC61" s="226">
        <f t="shared" si="28"/>
        <v>-1.0046038470536353E-2</v>
      </c>
      <c r="AD61" s="277">
        <v>-9.5165306882831497E-3</v>
      </c>
      <c r="AE61" s="119">
        <v>124.459</v>
      </c>
      <c r="AF61" s="119">
        <f t="shared" si="43"/>
        <v>117.47485687263556</v>
      </c>
      <c r="AG61" s="124">
        <f t="shared" si="44"/>
        <v>1.3858144377527221E-2</v>
      </c>
      <c r="AH61" s="119">
        <f t="shared" si="40"/>
        <v>262608.49</v>
      </c>
      <c r="AI61" s="58">
        <v>53366</v>
      </c>
      <c r="AJ61" s="126">
        <f t="shared" si="29"/>
        <v>315974.49</v>
      </c>
      <c r="AK61" s="119">
        <v>1.2450157043444687</v>
      </c>
      <c r="AL61" s="58">
        <f t="shared" si="30"/>
        <v>253791.56977491162</v>
      </c>
      <c r="AM61" s="127">
        <f t="shared" si="49"/>
        <v>1.5601356983056355E-2</v>
      </c>
      <c r="AN61" s="58">
        <f t="shared" si="5"/>
        <v>124.50157043444688</v>
      </c>
      <c r="AO61" s="58"/>
      <c r="AP61" s="119">
        <f t="shared" si="6"/>
        <v>71013.489999999976</v>
      </c>
      <c r="AQ61" s="58"/>
      <c r="AR61" s="119">
        <v>-194043.62599999923</v>
      </c>
      <c r="AS61" s="119">
        <v>189684</v>
      </c>
      <c r="AT61" s="122">
        <v>1703493</v>
      </c>
      <c r="AU61" s="124"/>
      <c r="AV61" s="145">
        <f t="shared" si="41"/>
        <v>8.4612559888178326E-2</v>
      </c>
      <c r="AW61" s="119">
        <f t="shared" si="23"/>
        <v>-8.1917300061040699E-3</v>
      </c>
      <c r="AX61" s="119">
        <v>1062.25</v>
      </c>
      <c r="AY61" s="124"/>
      <c r="AZ61" s="119">
        <v>1094087</v>
      </c>
      <c r="BA61" s="119">
        <f t="shared" si="45"/>
        <v>1.0157378513173125</v>
      </c>
      <c r="BB61" s="119">
        <f t="shared" si="46"/>
        <v>1.081764705882353</v>
      </c>
      <c r="BC61" s="119">
        <v>1.0293120419993449</v>
      </c>
      <c r="BD61" s="119">
        <f t="shared" si="31"/>
        <v>8.3437977899833687E-3</v>
      </c>
      <c r="BE61" s="119">
        <f t="shared" si="47"/>
        <v>4.2619042372381365E-2</v>
      </c>
      <c r="BF61" s="119">
        <f t="shared" si="32"/>
        <v>4.9831580630099757E-2</v>
      </c>
      <c r="BG61" s="119">
        <f t="shared" si="50"/>
        <v>-1303.595870575826</v>
      </c>
      <c r="BH61" s="124">
        <f t="shared" si="51"/>
        <v>-8.1283393065230188E-3</v>
      </c>
    </row>
    <row r="62" spans="1:66" s="119" customFormat="1">
      <c r="A62" s="117">
        <v>1997</v>
      </c>
      <c r="B62" s="145">
        <v>6.1990212071778128E-2</v>
      </c>
      <c r="C62" s="119">
        <v>1775.1604474807866</v>
      </c>
      <c r="D62" s="117">
        <v>673.37159224669097</v>
      </c>
      <c r="E62" s="117">
        <v>112.80624809764225</v>
      </c>
      <c r="F62" s="117">
        <v>1444.3050000000001</v>
      </c>
      <c r="G62" s="119">
        <v>2360</v>
      </c>
      <c r="H62" s="124">
        <f t="shared" si="33"/>
        <v>0.11848341232227488</v>
      </c>
      <c r="I62" s="119">
        <v>21702866.395208146</v>
      </c>
      <c r="J62" s="117">
        <v>16957417.11937755</v>
      </c>
      <c r="K62" s="59">
        <v>9959.9568819316901</v>
      </c>
      <c r="L62" s="119">
        <v>1.0774883099532402</v>
      </c>
      <c r="M62" s="119">
        <f t="shared" si="34"/>
        <v>1340.4368164910102</v>
      </c>
      <c r="N62" s="119">
        <f t="shared" si="35"/>
        <v>2572298.2508462486</v>
      </c>
      <c r="O62" s="124">
        <f t="shared" si="36"/>
        <v>0.15169163043744655</v>
      </c>
      <c r="P62" s="119">
        <f t="shared" si="42"/>
        <v>-4.0678818089126545E-3</v>
      </c>
      <c r="Q62" s="124">
        <f t="shared" si="15"/>
        <v>0.14501116993991278</v>
      </c>
      <c r="R62" s="119">
        <f t="shared" si="37"/>
        <v>3408559.8000000003</v>
      </c>
      <c r="S62" s="119">
        <f t="shared" si="38"/>
        <v>0.15705574268072664</v>
      </c>
      <c r="T62" s="119">
        <v>101.43169103921043</v>
      </c>
      <c r="V62" s="119">
        <v>-178067</v>
      </c>
      <c r="W62" s="58">
        <v>16092</v>
      </c>
      <c r="X62" s="119">
        <v>58.42</v>
      </c>
      <c r="Y62" s="58">
        <f t="shared" si="39"/>
        <v>137.87120000000002</v>
      </c>
      <c r="Z62" s="58">
        <f t="shared" si="16"/>
        <v>16229.8712</v>
      </c>
      <c r="AA62" s="121">
        <f t="shared" si="27"/>
        <v>-161837.12880000001</v>
      </c>
      <c r="AB62" s="226">
        <f t="shared" si="48"/>
        <v>-7.4569472001049875E-3</v>
      </c>
      <c r="AC62" s="226">
        <f t="shared" si="28"/>
        <v>7.4569472001049875E-3</v>
      </c>
      <c r="AD62" s="277">
        <v>8.2047687506990336E-3</v>
      </c>
      <c r="AE62" s="119">
        <v>104.842</v>
      </c>
      <c r="AF62" s="119">
        <f t="shared" si="43"/>
        <v>97.302215747055143</v>
      </c>
      <c r="AG62" s="124">
        <f t="shared" si="44"/>
        <v>1.1011284955963435E-2</v>
      </c>
      <c r="AH62" s="119">
        <f t="shared" si="40"/>
        <v>247427.12</v>
      </c>
      <c r="AI62" s="58">
        <v>0</v>
      </c>
      <c r="AJ62" s="126">
        <f t="shared" si="29"/>
        <v>247427.12</v>
      </c>
      <c r="AK62" s="119">
        <v>1.3315454464578742</v>
      </c>
      <c r="AL62" s="58">
        <f t="shared" si="30"/>
        <v>185819.50819492948</v>
      </c>
      <c r="AM62" s="127">
        <f t="shared" si="49"/>
        <v>1.0958007748868201E-2</v>
      </c>
      <c r="AN62" s="58">
        <f t="shared" si="5"/>
        <v>133.15454464578741</v>
      </c>
      <c r="AO62" s="58"/>
      <c r="AP62" s="119">
        <f t="shared" si="6"/>
        <v>425494.12</v>
      </c>
      <c r="AQ62" s="58"/>
      <c r="AR62" s="119">
        <v>-220842.37354200007</v>
      </c>
      <c r="AS62" s="119">
        <v>-53352</v>
      </c>
      <c r="AT62" s="122">
        <v>1831797</v>
      </c>
      <c r="AU62" s="124"/>
      <c r="AV62" s="145">
        <f t="shared" si="41"/>
        <v>8.4403459277823736E-2</v>
      </c>
      <c r="AW62" s="119">
        <f t="shared" si="23"/>
        <v>-2.0910061035459004E-4</v>
      </c>
      <c r="AX62" s="119">
        <v>845.80805300000009</v>
      </c>
      <c r="AY62" s="124"/>
      <c r="AZ62" s="119">
        <v>1253694</v>
      </c>
      <c r="BA62" s="119">
        <f t="shared" si="45"/>
        <v>1.0424251610273663</v>
      </c>
      <c r="BB62" s="119">
        <f t="shared" si="46"/>
        <v>1.0619902120717781</v>
      </c>
      <c r="BC62" s="119">
        <v>1.0233768993730763</v>
      </c>
      <c r="BD62" s="119">
        <f t="shared" si="31"/>
        <v>8.1815786758147029E-3</v>
      </c>
      <c r="BE62" s="119">
        <f t="shared" si="47"/>
        <v>4.176242882622698E-2</v>
      </c>
      <c r="BF62" s="119">
        <f t="shared" si="32"/>
        <v>3.9950589522542782E-2</v>
      </c>
      <c r="BG62" s="119">
        <f t="shared" si="50"/>
        <v>-1267.6168595999745</v>
      </c>
      <c r="BH62" s="124">
        <f t="shared" si="51"/>
        <v>-7.8895221886851451E-3</v>
      </c>
    </row>
    <row r="63" spans="1:66" s="119" customFormat="1">
      <c r="A63" s="117">
        <v>1998</v>
      </c>
      <c r="B63" s="145">
        <v>0.14644137224782372</v>
      </c>
      <c r="C63" s="119">
        <v>1738.518581814581</v>
      </c>
      <c r="D63" s="117">
        <v>646.01028673451515</v>
      </c>
      <c r="E63" s="117">
        <v>108.22255871510717</v>
      </c>
      <c r="F63" s="117">
        <v>1599.3810000000001</v>
      </c>
      <c r="G63" s="119">
        <v>2840</v>
      </c>
      <c r="H63" s="124">
        <f t="shared" si="33"/>
        <v>0.20338983050847448</v>
      </c>
      <c r="I63" s="119">
        <v>24605392.360497016</v>
      </c>
      <c r="J63" s="117">
        <v>16968954.565419976</v>
      </c>
      <c r="K63" s="59">
        <v>9022.6673075831095</v>
      </c>
      <c r="L63" s="119">
        <v>1.0948563794255177</v>
      </c>
      <c r="M63" s="119">
        <f t="shared" si="34"/>
        <v>1460.813518608908</v>
      </c>
      <c r="N63" s="119">
        <f t="shared" si="35"/>
        <v>2803301.1422104943</v>
      </c>
      <c r="O63" s="124">
        <f t="shared" si="36"/>
        <v>0.16520175897713671</v>
      </c>
      <c r="P63" s="119">
        <f t="shared" si="42"/>
        <v>1.3510128539690164E-2</v>
      </c>
      <c r="Q63" s="124">
        <f t="shared" si="15"/>
        <v>0.17726254836591379</v>
      </c>
      <c r="R63" s="119">
        <f t="shared" si="37"/>
        <v>4542242.04</v>
      </c>
      <c r="S63" s="119">
        <f t="shared" si="38"/>
        <v>0.1846035199703781</v>
      </c>
      <c r="T63" s="119">
        <v>105.54129003012606</v>
      </c>
      <c r="V63" s="119">
        <v>399519</v>
      </c>
      <c r="W63" s="58">
        <v>34031</v>
      </c>
      <c r="X63" s="119">
        <v>62.271999999999998</v>
      </c>
      <c r="Y63" s="58">
        <f t="shared" si="39"/>
        <v>176.85247999999999</v>
      </c>
      <c r="Z63" s="58">
        <f t="shared" si="16"/>
        <v>34207.852480000001</v>
      </c>
      <c r="AA63" s="121">
        <f t="shared" si="27"/>
        <v>433726.85248</v>
      </c>
      <c r="AB63" s="226">
        <f t="shared" si="48"/>
        <v>1.7627308929904783E-2</v>
      </c>
      <c r="AC63" s="226">
        <f t="shared" si="28"/>
        <v>-1.7627308929904783E-2</v>
      </c>
      <c r="AD63" s="277">
        <v>-1.623705056788332E-2</v>
      </c>
      <c r="AE63" s="119">
        <v>103.032</v>
      </c>
      <c r="AF63" s="119">
        <f t="shared" si="43"/>
        <v>94.105493593654657</v>
      </c>
      <c r="AG63" s="124">
        <f t="shared" si="44"/>
        <v>1.0642284503149873E-2</v>
      </c>
      <c r="AH63" s="119">
        <f t="shared" si="40"/>
        <v>292610.88</v>
      </c>
      <c r="AI63" s="58">
        <v>98375</v>
      </c>
      <c r="AJ63" s="126">
        <f t="shared" si="29"/>
        <v>390985.88</v>
      </c>
      <c r="AK63" s="119">
        <v>1.4853888842313077</v>
      </c>
      <c r="AL63" s="58">
        <f t="shared" si="30"/>
        <v>263221.22384962923</v>
      </c>
      <c r="AM63" s="127">
        <f t="shared" si="49"/>
        <v>1.5511929319796289E-2</v>
      </c>
      <c r="AN63" s="58">
        <f t="shared" si="5"/>
        <v>148.53888842313077</v>
      </c>
      <c r="AO63" s="58"/>
      <c r="AP63" s="119">
        <f t="shared" si="6"/>
        <v>-106908.12</v>
      </c>
      <c r="AQ63" s="58"/>
      <c r="AR63" s="119">
        <v>-88931.641506999731</v>
      </c>
      <c r="AS63" s="119">
        <v>83674</v>
      </c>
      <c r="AT63" s="122">
        <v>1987333</v>
      </c>
      <c r="AU63" s="124"/>
      <c r="AV63" s="145">
        <f t="shared" si="41"/>
        <v>8.0768189788779171E-2</v>
      </c>
      <c r="AW63" s="119">
        <f t="shared" si="23"/>
        <v>-3.6352694890445653E-3</v>
      </c>
      <c r="AX63" s="119">
        <v>874.7526499999999</v>
      </c>
      <c r="AY63" s="124"/>
      <c r="AZ63" s="119">
        <v>1409138</v>
      </c>
      <c r="BA63" s="119">
        <f t="shared" si="45"/>
        <v>1.0006803775575728</v>
      </c>
      <c r="BB63" s="119">
        <f t="shared" si="46"/>
        <v>1.1464413722478237</v>
      </c>
      <c r="BC63" s="119">
        <v>1.0155227909874327</v>
      </c>
      <c r="BD63" s="119">
        <f t="shared" si="31"/>
        <v>1.0831382985847123E-2</v>
      </c>
      <c r="BE63" s="119">
        <f t="shared" si="47"/>
        <v>4.3115546923953037E-2</v>
      </c>
      <c r="BF63" s="119">
        <f t="shared" si="32"/>
        <v>4.1096107636911822E-2</v>
      </c>
      <c r="BG63" s="119">
        <f t="shared" si="50"/>
        <v>-1285.3500808000163</v>
      </c>
      <c r="BH63" s="124">
        <f t="shared" si="51"/>
        <v>-9.014037965306575E-3</v>
      </c>
    </row>
    <row r="64" spans="1:66" s="119" customFormat="1">
      <c r="A64" s="117">
        <v>1999</v>
      </c>
      <c r="B64" s="145">
        <v>5.4041983028137563E-2</v>
      </c>
      <c r="C64" s="119">
        <v>1678.9523982072192</v>
      </c>
      <c r="D64" s="117">
        <v>611.14096900267305</v>
      </c>
      <c r="E64" s="117">
        <v>102.38109324144543</v>
      </c>
      <c r="F64" s="117">
        <v>2111.4670000000001</v>
      </c>
      <c r="G64" s="119">
        <v>3329</v>
      </c>
      <c r="H64" s="124">
        <f t="shared" si="33"/>
        <v>0.17218309859154934</v>
      </c>
      <c r="I64" s="119">
        <v>26176950.737209246</v>
      </c>
      <c r="J64" s="117">
        <v>16737145.119697785</v>
      </c>
      <c r="K64" s="59">
        <v>8392.8088267173862</v>
      </c>
      <c r="L64" s="119">
        <v>1.1242484969939881</v>
      </c>
      <c r="M64" s="119">
        <f t="shared" si="34"/>
        <v>1878.1141408199642</v>
      </c>
      <c r="N64" s="119">
        <f t="shared" si="35"/>
        <v>3604101.0362335113</v>
      </c>
      <c r="O64" s="124">
        <f t="shared" si="36"/>
        <v>0.21533547151908716</v>
      </c>
      <c r="P64" s="119">
        <f t="shared" si="42"/>
        <v>5.0133712541950454E-2</v>
      </c>
      <c r="Q64" s="124">
        <f t="shared" si="15"/>
        <v>0.25158049511129421</v>
      </c>
      <c r="R64" s="119">
        <f t="shared" si="37"/>
        <v>7029073.6430000002</v>
      </c>
      <c r="S64" s="119">
        <f t="shared" si="38"/>
        <v>0.26852148340595372</v>
      </c>
      <c r="T64" s="119">
        <v>119.00166574778967</v>
      </c>
      <c r="V64" s="119">
        <v>-779229.40722200007</v>
      </c>
      <c r="W64" s="58">
        <v>30997</v>
      </c>
      <c r="X64" s="119">
        <v>62.3</v>
      </c>
      <c r="Y64" s="58">
        <f t="shared" si="39"/>
        <v>207.39669999999998</v>
      </c>
      <c r="Z64" s="58">
        <f t="shared" si="16"/>
        <v>31204.396700000001</v>
      </c>
      <c r="AA64" s="121">
        <f t="shared" si="27"/>
        <v>-748025.01052200003</v>
      </c>
      <c r="AB64" s="226">
        <f t="shared" si="48"/>
        <v>-2.8575712199309728E-2</v>
      </c>
      <c r="AC64" s="226">
        <f t="shared" si="28"/>
        <v>2.8575712199309728E-2</v>
      </c>
      <c r="AD64" s="277">
        <v>2.9767768409876855E-2</v>
      </c>
      <c r="AE64" s="119">
        <v>108.361</v>
      </c>
      <c r="AF64" s="119">
        <f t="shared" si="43"/>
        <v>96.385274509803921</v>
      </c>
      <c r="AG64" s="124">
        <f t="shared" si="44"/>
        <v>1.105106877317041E-2</v>
      </c>
      <c r="AH64" s="119">
        <f t="shared" si="40"/>
        <v>360733.76900000003</v>
      </c>
      <c r="AI64" s="58">
        <v>126135</v>
      </c>
      <c r="AJ64" s="126">
        <f t="shared" si="29"/>
        <v>486868.76900000003</v>
      </c>
      <c r="AK64" s="119">
        <v>1.585669030842787</v>
      </c>
      <c r="AL64" s="58">
        <f t="shared" si="30"/>
        <v>307043.12156568264</v>
      </c>
      <c r="AM64" s="127">
        <f t="shared" si="49"/>
        <v>1.8345011611587601E-2</v>
      </c>
      <c r="AN64" s="58">
        <f t="shared" si="5"/>
        <v>158.56690308427869</v>
      </c>
      <c r="AO64" s="58"/>
      <c r="AP64" s="119">
        <f t="shared" si="6"/>
        <v>1139963.176222</v>
      </c>
      <c r="AQ64" s="58"/>
      <c r="AR64" s="119">
        <v>-804688.3963779998</v>
      </c>
      <c r="AS64" s="119">
        <v>-61029.698244000319</v>
      </c>
      <c r="AT64" s="122">
        <v>2138545</v>
      </c>
      <c r="AU64" s="124"/>
      <c r="AV64" s="145">
        <f t="shared" si="41"/>
        <v>8.1695726193202617E-2</v>
      </c>
      <c r="AW64" s="119">
        <f t="shared" si="23"/>
        <v>9.2753640442344576E-4</v>
      </c>
      <c r="AX64" s="119">
        <v>988.20243000000005</v>
      </c>
      <c r="AY64" s="124"/>
      <c r="AZ64" s="119">
        <v>1587497</v>
      </c>
      <c r="BA64" s="119">
        <f t="shared" si="45"/>
        <v>0.98633920287614052</v>
      </c>
      <c r="BB64" s="119">
        <f t="shared" si="46"/>
        <v>1.0540419830281376</v>
      </c>
      <c r="BC64" s="119">
        <v>1.0218802719697382</v>
      </c>
      <c r="BD64" s="119">
        <f t="shared" si="31"/>
        <v>3.0797955242098693E-3</v>
      </c>
      <c r="BE64" s="119">
        <f t="shared" si="47"/>
        <v>3.8952569775431864E-2</v>
      </c>
      <c r="BF64" s="119">
        <f t="shared" si="32"/>
        <v>4.2776730710387526E-2</v>
      </c>
      <c r="BG64" s="119">
        <f t="shared" si="50"/>
        <v>-1398.324692105281</v>
      </c>
      <c r="BH64" s="124">
        <f t="shared" si="51"/>
        <v>-1.015382974600655E-2</v>
      </c>
    </row>
    <row r="65" spans="1:60" s="119" customFormat="1">
      <c r="A65" s="117">
        <v>2000</v>
      </c>
      <c r="B65" s="145">
        <v>8.6440677966101553E-2</v>
      </c>
      <c r="C65" s="119">
        <v>1606.438557340261</v>
      </c>
      <c r="D65" s="117">
        <v>572.8092906767547</v>
      </c>
      <c r="E65" s="117">
        <v>95.959597495232771</v>
      </c>
      <c r="F65" s="117">
        <v>2234.3220000000001</v>
      </c>
      <c r="G65" s="119">
        <v>3527</v>
      </c>
      <c r="H65" s="124">
        <f t="shared" si="33"/>
        <v>5.947732051667165E-2</v>
      </c>
      <c r="I65" s="119">
        <v>28574100.862382505</v>
      </c>
      <c r="J65" s="117">
        <v>16349824.054519456</v>
      </c>
      <c r="K65" s="59">
        <v>8207.1643055528384</v>
      </c>
      <c r="L65" s="119">
        <v>1.1623246492985975</v>
      </c>
      <c r="M65" s="119">
        <f t="shared" si="34"/>
        <v>1922.2873758620685</v>
      </c>
      <c r="N65" s="119">
        <f t="shared" si="35"/>
        <v>3688869.4742793096</v>
      </c>
      <c r="O65" s="124">
        <f t="shared" si="36"/>
        <v>0.2256213560450899</v>
      </c>
      <c r="P65" s="119">
        <f t="shared" si="42"/>
        <v>1.0285884526002737E-2</v>
      </c>
      <c r="Q65" s="124">
        <f t="shared" si="15"/>
        <v>0.27224043735645609</v>
      </c>
      <c r="R65" s="119">
        <f t="shared" si="37"/>
        <v>7880453.6940000001</v>
      </c>
      <c r="S65" s="119">
        <f t="shared" si="38"/>
        <v>0.27579008459281151</v>
      </c>
      <c r="T65" s="119">
        <v>121.53552242844921</v>
      </c>
      <c r="V65" s="119">
        <v>-854267.2575999992</v>
      </c>
      <c r="W65" s="58">
        <v>26846</v>
      </c>
      <c r="X65" s="119">
        <v>94.647000000000006</v>
      </c>
      <c r="Y65" s="58">
        <f t="shared" si="39"/>
        <v>333.81996900000001</v>
      </c>
      <c r="Z65" s="58">
        <f t="shared" si="16"/>
        <v>27179.819969</v>
      </c>
      <c r="AA65" s="121">
        <f t="shared" si="27"/>
        <v>-827087.43763099925</v>
      </c>
      <c r="AB65" s="226">
        <f t="shared" si="48"/>
        <v>-2.8945353052905715E-2</v>
      </c>
      <c r="AC65" s="226">
        <f t="shared" si="28"/>
        <v>2.8945353052905715E-2</v>
      </c>
      <c r="AD65" s="277">
        <v>2.9896557785467636E-2</v>
      </c>
      <c r="AE65" s="119">
        <v>105.452</v>
      </c>
      <c r="AF65" s="119">
        <f t="shared" si="43"/>
        <v>90.725082758620673</v>
      </c>
      <c r="AG65" s="124">
        <f t="shared" si="44"/>
        <v>1.0648520328612805E-2</v>
      </c>
      <c r="AH65" s="119">
        <f t="shared" si="40"/>
        <v>371929.20399999997</v>
      </c>
      <c r="AI65" s="58">
        <v>312298</v>
      </c>
      <c r="AJ65" s="126">
        <f t="shared" si="29"/>
        <v>684227.20399999991</v>
      </c>
      <c r="AK65" s="119">
        <v>1.7281209201199079</v>
      </c>
      <c r="AL65" s="58">
        <f t="shared" si="30"/>
        <v>395937.11066961905</v>
      </c>
      <c r="AM65" s="127">
        <f t="shared" si="49"/>
        <v>2.4216597643457405E-2</v>
      </c>
      <c r="AN65" s="58">
        <f t="shared" si="5"/>
        <v>172.81209201199079</v>
      </c>
      <c r="AO65" s="58"/>
      <c r="AP65" s="119">
        <f t="shared" si="6"/>
        <v>1226196.4615999993</v>
      </c>
      <c r="AQ65" s="58"/>
      <c r="AR65" s="119">
        <v>-1126392.8396280005</v>
      </c>
      <c r="AS65" s="119">
        <v>213982.17079999996</v>
      </c>
      <c r="AT65" s="122">
        <v>2106943.3540000003</v>
      </c>
      <c r="AU65" s="124"/>
      <c r="AV65" s="145">
        <f t="shared" si="41"/>
        <v>7.3736120837095825E-2</v>
      </c>
      <c r="AW65" s="119">
        <f t="shared" si="23"/>
        <v>-7.9596053561067914E-3</v>
      </c>
      <c r="AX65" s="119">
        <v>771.87931299999991</v>
      </c>
      <c r="AY65" s="124"/>
      <c r="AZ65" s="119">
        <v>1556689</v>
      </c>
      <c r="BA65" s="119">
        <f t="shared" si="45"/>
        <v>0.9768585943177075</v>
      </c>
      <c r="BB65" s="119">
        <f t="shared" si="46"/>
        <v>1.0864406779661016</v>
      </c>
      <c r="BC65" s="119">
        <v>1.0337685727149926</v>
      </c>
      <c r="BD65" s="119">
        <f t="shared" si="31"/>
        <v>4.7186133789233423E-3</v>
      </c>
      <c r="BE65" s="119">
        <f t="shared" si="47"/>
        <v>4.4825232883109231E-2</v>
      </c>
      <c r="BF65" s="119">
        <f t="shared" si="32"/>
        <v>3.8572793056261725E-2</v>
      </c>
      <c r="BG65" s="119">
        <f t="shared" si="50"/>
        <v>-1805.6700327300769</v>
      </c>
      <c r="BH65" s="124">
        <f t="shared" si="51"/>
        <v>-1.6505449469879828E-2</v>
      </c>
    </row>
    <row r="66" spans="1:60" s="119" customFormat="1">
      <c r="A66" s="117">
        <v>2001</v>
      </c>
      <c r="B66" s="145">
        <v>8.3853354134165503E-2</v>
      </c>
      <c r="C66" s="119">
        <v>1560.8805798285605</v>
      </c>
      <c r="D66" s="117">
        <v>545.20336783259722</v>
      </c>
      <c r="E66" s="117">
        <v>91.334928713272134</v>
      </c>
      <c r="F66" s="117">
        <v>2162.4070000000002</v>
      </c>
      <c r="G66" s="119">
        <v>4682</v>
      </c>
      <c r="H66" s="124">
        <f t="shared" si="33"/>
        <v>0.32747377374539277</v>
      </c>
      <c r="I66" s="119">
        <v>31462078.100319903</v>
      </c>
      <c r="J66" s="117">
        <v>16213457.575816549</v>
      </c>
      <c r="K66" s="59">
        <v>7662.1524311620069</v>
      </c>
      <c r="L66" s="119">
        <v>1.1803607214428857</v>
      </c>
      <c r="M66" s="119">
        <f t="shared" si="34"/>
        <v>1831.988273344652</v>
      </c>
      <c r="N66" s="119">
        <f t="shared" si="35"/>
        <v>3515585.4965483872</v>
      </c>
      <c r="O66" s="124">
        <f t="shared" si="36"/>
        <v>0.21683132546583506</v>
      </c>
      <c r="P66" s="119">
        <f t="shared" si="42"/>
        <v>-8.7900305792548428E-3</v>
      </c>
      <c r="Q66" s="124">
        <f t="shared" si="15"/>
        <v>0.28221926141869502</v>
      </c>
      <c r="R66" s="119">
        <f t="shared" si="37"/>
        <v>10124389.574000001</v>
      </c>
      <c r="S66" s="119">
        <f t="shared" si="38"/>
        <v>0.32179659403671296</v>
      </c>
      <c r="T66" s="119">
        <v>149.45210912388066</v>
      </c>
      <c r="V66" s="119">
        <v>288328.69422000169</v>
      </c>
      <c r="W66" s="58">
        <v>25296</v>
      </c>
      <c r="X66" s="119">
        <v>104.27500000000001</v>
      </c>
      <c r="Y66" s="58">
        <f t="shared" si="39"/>
        <v>488.21555000000006</v>
      </c>
      <c r="Z66" s="58">
        <f t="shared" si="16"/>
        <v>25784.215550000001</v>
      </c>
      <c r="AA66" s="121">
        <f t="shared" si="27"/>
        <v>314112.90977000172</v>
      </c>
      <c r="AB66" s="226">
        <f t="shared" si="48"/>
        <v>9.9838576704444661E-3</v>
      </c>
      <c r="AC66" s="226">
        <f t="shared" si="28"/>
        <v>-9.9838576704444661E-3</v>
      </c>
      <c r="AD66" s="277">
        <v>-9.1643245338288697E-3</v>
      </c>
      <c r="AE66" s="119">
        <v>125.902</v>
      </c>
      <c r="AF66" s="119">
        <f t="shared" si="43"/>
        <v>106.66400339558574</v>
      </c>
      <c r="AG66" s="124">
        <f t="shared" si="44"/>
        <v>1.2624588034907194E-2</v>
      </c>
      <c r="AH66" s="119">
        <f t="shared" si="40"/>
        <v>589473.16399999999</v>
      </c>
      <c r="AI66" s="58">
        <v>104853</v>
      </c>
      <c r="AJ66" s="126">
        <f t="shared" si="29"/>
        <v>694326.16399999999</v>
      </c>
      <c r="AK66" s="119">
        <v>1.8537156189454154</v>
      </c>
      <c r="AL66" s="58">
        <f t="shared" si="30"/>
        <v>374559.15940062283</v>
      </c>
      <c r="AM66" s="127">
        <f t="shared" si="49"/>
        <v>2.3101744809774734E-2</v>
      </c>
      <c r="AN66" s="58">
        <f t="shared" si="5"/>
        <v>185.37156189454154</v>
      </c>
      <c r="AO66" s="58"/>
      <c r="AP66" s="119">
        <f t="shared" si="6"/>
        <v>301144.4697799983</v>
      </c>
      <c r="AQ66" s="58"/>
      <c r="AR66" s="119">
        <v>-231622.69122200087</v>
      </c>
      <c r="AS66" s="119">
        <v>343100.54602000071</v>
      </c>
      <c r="AT66" s="122">
        <v>2227567.355856</v>
      </c>
      <c r="AU66" s="124"/>
      <c r="AV66" s="145">
        <f t="shared" si="41"/>
        <v>7.0801659977868733E-2</v>
      </c>
      <c r="AW66" s="119">
        <f t="shared" si="23"/>
        <v>-2.9344608592270921E-3</v>
      </c>
      <c r="AX66" s="119">
        <v>723.13683700000001</v>
      </c>
      <c r="AY66" s="124"/>
      <c r="AZ66" s="119">
        <v>1662247</v>
      </c>
      <c r="BA66" s="119">
        <f t="shared" si="45"/>
        <v>0.99165945283275314</v>
      </c>
      <c r="BB66" s="119">
        <f t="shared" si="46"/>
        <v>1.0838533541341655</v>
      </c>
      <c r="BC66" s="119">
        <v>1.0282617111885433</v>
      </c>
      <c r="BD66" s="119">
        <f t="shared" si="31"/>
        <v>5.1324737454704174E-3</v>
      </c>
      <c r="BE66" s="119">
        <f t="shared" si="47"/>
        <v>4.6669638485410787E-2</v>
      </c>
      <c r="BF66" s="119">
        <f t="shared" si="32"/>
        <v>4.3959863371548211E-2</v>
      </c>
      <c r="BG66" s="119">
        <f t="shared" si="50"/>
        <v>-1837.7838854583201</v>
      </c>
      <c r="BH66" s="124">
        <f t="shared" si="51"/>
        <v>-2.2026334855204541E-2</v>
      </c>
    </row>
    <row r="67" spans="1:60" s="119" customFormat="1">
      <c r="A67" s="117">
        <v>2002</v>
      </c>
      <c r="B67" s="145">
        <v>0.14645555955379663</v>
      </c>
      <c r="C67" s="119">
        <v>1529.5888443947074</v>
      </c>
      <c r="D67" s="117">
        <v>523.36717280886739</v>
      </c>
      <c r="E67" s="117">
        <v>87.676830774900921</v>
      </c>
      <c r="F67" s="117">
        <v>2283.0509999999999</v>
      </c>
      <c r="G67" s="119">
        <v>7104</v>
      </c>
      <c r="H67" s="124">
        <f t="shared" si="33"/>
        <v>0.51730029901751395</v>
      </c>
      <c r="I67" s="119">
        <v>36156212.343866736</v>
      </c>
      <c r="J67" s="117">
        <v>16209987.18330846</v>
      </c>
      <c r="K67" s="59">
        <v>6326.1700989447218</v>
      </c>
      <c r="L67" s="119">
        <v>1.2084168336673344</v>
      </c>
      <c r="M67" s="119">
        <f t="shared" si="34"/>
        <v>1889.2909601990052</v>
      </c>
      <c r="N67" s="119">
        <f t="shared" si="35"/>
        <v>3625549.3526218911</v>
      </c>
      <c r="O67" s="124">
        <f t="shared" si="36"/>
        <v>0.22366145707722368</v>
      </c>
      <c r="P67" s="119">
        <f t="shared" si="42"/>
        <v>6.8301316113886235E-3</v>
      </c>
      <c r="Q67" s="124">
        <f t="shared" si="15"/>
        <v>0.36088991669396292</v>
      </c>
      <c r="R67" s="119">
        <f t="shared" si="37"/>
        <v>16218794.304</v>
      </c>
      <c r="S67" s="119">
        <f t="shared" si="38"/>
        <v>0.44857559054443469</v>
      </c>
      <c r="T67" s="119">
        <v>194.32265597242744</v>
      </c>
      <c r="V67" s="119">
        <v>-807205.7543900006</v>
      </c>
      <c r="W67" s="58">
        <v>60494</v>
      </c>
      <c r="X67" s="119">
        <v>74.924999999999997</v>
      </c>
      <c r="Y67" s="58">
        <f t="shared" si="39"/>
        <v>532.2672</v>
      </c>
      <c r="Z67" s="58">
        <f t="shared" si="16"/>
        <v>61026.267200000002</v>
      </c>
      <c r="AA67" s="121">
        <f t="shared" si="27"/>
        <v>-746179.4871900006</v>
      </c>
      <c r="AB67" s="226">
        <f t="shared" si="48"/>
        <v>-2.0637656403093251E-2</v>
      </c>
      <c r="AC67" s="226">
        <f t="shared" si="28"/>
        <v>2.0637656403093251E-2</v>
      </c>
      <c r="AD67" s="277">
        <v>2.2325506519128763E-2</v>
      </c>
      <c r="AE67" s="119">
        <v>114.881</v>
      </c>
      <c r="AF67" s="119">
        <f t="shared" si="43"/>
        <v>95.067361525704825</v>
      </c>
      <c r="AG67" s="124">
        <f t="shared" si="44"/>
        <v>1.1254436212983649E-2</v>
      </c>
      <c r="AH67" s="119">
        <f t="shared" si="40"/>
        <v>816114.62399999995</v>
      </c>
      <c r="AI67" s="58">
        <v>725</v>
      </c>
      <c r="AJ67" s="126">
        <f t="shared" si="29"/>
        <v>816839.62399999995</v>
      </c>
      <c r="AK67" s="119">
        <v>2.0485226048470024</v>
      </c>
      <c r="AL67" s="58">
        <f t="shared" si="30"/>
        <v>398745.72146154428</v>
      </c>
      <c r="AM67" s="127">
        <f t="shared" si="49"/>
        <v>2.4598768459985928E-2</v>
      </c>
      <c r="AN67" s="58">
        <f t="shared" si="5"/>
        <v>204.85226048470025</v>
      </c>
      <c r="AO67" s="58"/>
      <c r="AP67" s="119">
        <f t="shared" si="6"/>
        <v>1623320.3783900007</v>
      </c>
      <c r="AQ67" s="58"/>
      <c r="AR67" s="119">
        <v>-948476.1867750017</v>
      </c>
      <c r="AS67" s="119">
        <v>68177.375900000334</v>
      </c>
      <c r="AT67" s="122">
        <v>2193175.648856</v>
      </c>
      <c r="AU67" s="124"/>
      <c r="AV67" s="145">
        <f t="shared" si="41"/>
        <v>6.065833522598043E-2</v>
      </c>
      <c r="AW67" s="119">
        <f t="shared" si="23"/>
        <v>-1.0143324751888304E-2</v>
      </c>
      <c r="AX67" s="119">
        <v>641.31871999999998</v>
      </c>
      <c r="AY67" s="124"/>
      <c r="AZ67" s="119">
        <v>1698674</v>
      </c>
      <c r="BA67" s="119">
        <f t="shared" si="45"/>
        <v>0.99978595604966669</v>
      </c>
      <c r="BB67" s="119">
        <f t="shared" si="46"/>
        <v>1.1464555595537966</v>
      </c>
      <c r="BC67" s="119">
        <v>1.0158603162650583</v>
      </c>
      <c r="BD67" s="119">
        <f t="shared" si="31"/>
        <v>9.0314349576491228E-3</v>
      </c>
      <c r="BE67" s="119">
        <f t="shared" si="47"/>
        <v>3.4648888946437924E-2</v>
      </c>
      <c r="BF67" s="119">
        <f t="shared" si="32"/>
        <v>4.5950835198913E-2</v>
      </c>
      <c r="BG67" s="119">
        <f t="shared" si="50"/>
        <v>-1747.8068821098507</v>
      </c>
      <c r="BH67" s="124">
        <f t="shared" si="51"/>
        <v>-1.7147989872385958E-2</v>
      </c>
    </row>
    <row r="68" spans="1:60" s="119" customFormat="1">
      <c r="A68" s="117">
        <v>2003</v>
      </c>
      <c r="B68" s="145">
        <v>9.3220338983050821E-2</v>
      </c>
      <c r="C68" s="119">
        <v>1564.5947711626568</v>
      </c>
      <c r="D68" s="117">
        <v>524.41676184845835</v>
      </c>
      <c r="E68" s="117">
        <v>87.852662667668497</v>
      </c>
      <c r="F68" s="117">
        <v>2477.5729999999999</v>
      </c>
      <c r="G68" s="119">
        <v>5983</v>
      </c>
      <c r="H68" s="124">
        <f t="shared" si="33"/>
        <v>-0.15779842342342343</v>
      </c>
      <c r="I68" s="119">
        <v>42324219.772408746</v>
      </c>
      <c r="J68" s="117">
        <v>16910379.472739432</v>
      </c>
      <c r="K68" s="59">
        <v>6588.2656194307474</v>
      </c>
      <c r="L68" s="119">
        <v>1.2311289245156982</v>
      </c>
      <c r="M68" s="119">
        <f t="shared" si="34"/>
        <v>2012.4399245794896</v>
      </c>
      <c r="N68" s="119">
        <f t="shared" si="35"/>
        <v>3861872.2152680405</v>
      </c>
      <c r="O68" s="124">
        <f t="shared" si="36"/>
        <v>0.22837288905867636</v>
      </c>
      <c r="P68" s="119">
        <f t="shared" si="42"/>
        <v>4.711431981452685E-3</v>
      </c>
      <c r="Q68" s="124">
        <f t="shared" si="15"/>
        <v>0.37605845652198705</v>
      </c>
      <c r="R68" s="119">
        <f t="shared" si="37"/>
        <v>14823319.259</v>
      </c>
      <c r="S68" s="119">
        <f t="shared" si="38"/>
        <v>0.35023254625152839</v>
      </c>
      <c r="T68" s="119">
        <v>159.03856364001271</v>
      </c>
      <c r="V68" s="119">
        <v>391457.80328299926</v>
      </c>
      <c r="W68" s="58">
        <v>57647.637999999999</v>
      </c>
      <c r="X68" s="119">
        <v>82.24</v>
      </c>
      <c r="Y68" s="58">
        <f t="shared" si="39"/>
        <v>492.04192</v>
      </c>
      <c r="Z68" s="58">
        <f t="shared" si="16"/>
        <v>58139.679920000002</v>
      </c>
      <c r="AA68" s="121">
        <f t="shared" si="27"/>
        <v>449597.48320299928</v>
      </c>
      <c r="AB68" s="226">
        <f t="shared" si="48"/>
        <v>1.062269985414103E-2</v>
      </c>
      <c r="AC68" s="226">
        <f t="shared" si="28"/>
        <v>-1.062269985414103E-2</v>
      </c>
      <c r="AD68" s="277">
        <v>-9.2490258624493647E-3</v>
      </c>
      <c r="AE68" s="119">
        <v>125.95</v>
      </c>
      <c r="AF68" s="119">
        <f t="shared" si="43"/>
        <v>102.3044763971785</v>
      </c>
      <c r="AG68" s="124">
        <f t="shared" si="44"/>
        <v>1.1609573311034746E-2</v>
      </c>
      <c r="AH68" s="119">
        <f t="shared" si="40"/>
        <v>753558.85</v>
      </c>
      <c r="AI68" s="58">
        <v>56183.18</v>
      </c>
      <c r="AJ68" s="126">
        <f t="shared" si="29"/>
        <v>809742.03</v>
      </c>
      <c r="AK68" s="119">
        <v>2.3399851537476088</v>
      </c>
      <c r="AL68" s="58">
        <f t="shared" si="30"/>
        <v>346045.798069768</v>
      </c>
      <c r="AM68" s="127">
        <f t="shared" si="49"/>
        <v>2.0463514649544975E-2</v>
      </c>
      <c r="AN68" s="58">
        <f t="shared" si="5"/>
        <v>233.99851537476087</v>
      </c>
      <c r="AO68" s="58"/>
      <c r="AP68" s="119">
        <f t="shared" si="6"/>
        <v>362101.04671700072</v>
      </c>
      <c r="AQ68" s="58"/>
      <c r="AR68" s="119">
        <v>-131185.68306900002</v>
      </c>
      <c r="AS68" s="119">
        <v>332888.88089799974</v>
      </c>
      <c r="AT68" s="122">
        <v>3461744.32</v>
      </c>
      <c r="AU68" s="124"/>
      <c r="AV68" s="145">
        <f t="shared" si="41"/>
        <v>8.179109594021905E-2</v>
      </c>
      <c r="AW68" s="119">
        <f t="shared" si="23"/>
        <v>2.113276071423862E-2</v>
      </c>
      <c r="AX68" s="119">
        <v>983.37247200000002</v>
      </c>
      <c r="AY68" s="124"/>
      <c r="AZ68" s="119">
        <v>2206814</v>
      </c>
      <c r="BA68" s="119">
        <f t="shared" si="45"/>
        <v>1.0432074548554962</v>
      </c>
      <c r="BB68" s="119">
        <f t="shared" si="46"/>
        <v>1.0932203389830508</v>
      </c>
      <c r="BC68" s="119">
        <v>1.0227009497336108</v>
      </c>
      <c r="BD68" s="119">
        <f t="shared" si="31"/>
        <v>7.4705260460643137E-3</v>
      </c>
      <c r="BE68" s="119">
        <f t="shared" si="47"/>
        <v>3.6021972351909792E-2</v>
      </c>
      <c r="BF68" s="119">
        <f t="shared" si="32"/>
        <v>3.2476556295726017E-2</v>
      </c>
      <c r="BG68" s="119">
        <f t="shared" si="50"/>
        <v>-1827.933295971096</v>
      </c>
      <c r="BH68" s="124">
        <f t="shared" si="51"/>
        <v>-1.7814904145116502E-2</v>
      </c>
    </row>
    <row r="69" spans="1:60" s="119" customFormat="1">
      <c r="A69" s="117">
        <v>2004</v>
      </c>
      <c r="B69" s="145">
        <v>2.8136663795578443E-2</v>
      </c>
      <c r="C69" s="119">
        <v>1596.9561388650106</v>
      </c>
      <c r="D69" s="117">
        <v>524.33711105053465</v>
      </c>
      <c r="E69" s="117">
        <v>87.839319206531712</v>
      </c>
      <c r="F69" s="117">
        <v>2390.6869999999999</v>
      </c>
      <c r="G69" s="119">
        <v>6196</v>
      </c>
      <c r="H69" s="124">
        <f t="shared" si="33"/>
        <v>3.5600869129199353E-2</v>
      </c>
      <c r="I69" s="119">
        <v>47999043.589724079</v>
      </c>
      <c r="J69" s="117">
        <v>17596504.314825632</v>
      </c>
      <c r="K69" s="59">
        <v>8060.4005681152739</v>
      </c>
      <c r="L69" s="119">
        <v>1.2712090848363393</v>
      </c>
      <c r="M69" s="119">
        <f t="shared" si="34"/>
        <v>1880.6402727272728</v>
      </c>
      <c r="N69" s="119">
        <f t="shared" si="35"/>
        <v>3608948.6833636365</v>
      </c>
      <c r="O69" s="124">
        <f t="shared" si="36"/>
        <v>0.20509463804825023</v>
      </c>
      <c r="P69" s="119">
        <f t="shared" si="42"/>
        <v>-2.3278251010426132E-2</v>
      </c>
      <c r="Q69" s="124">
        <f t="shared" si="15"/>
        <v>0.29659654998498458</v>
      </c>
      <c r="R69" s="119">
        <f t="shared" si="37"/>
        <v>14812696.651999999</v>
      </c>
      <c r="S69" s="119">
        <f t="shared" si="38"/>
        <v>0.30860399591735177</v>
      </c>
      <c r="T69" s="119">
        <v>164.8073209391128</v>
      </c>
      <c r="V69" s="119">
        <v>961610.60416584101</v>
      </c>
      <c r="W69" s="58">
        <v>67734</v>
      </c>
      <c r="X69" s="119">
        <v>108.599</v>
      </c>
      <c r="Y69" s="58">
        <f t="shared" si="39"/>
        <v>672.87940400000002</v>
      </c>
      <c r="Z69" s="58">
        <f t="shared" si="16"/>
        <v>68406.879404000007</v>
      </c>
      <c r="AA69" s="121">
        <f t="shared" si="27"/>
        <v>1030017.483569841</v>
      </c>
      <c r="AB69" s="226">
        <f t="shared" si="48"/>
        <v>2.1459125152034349E-2</v>
      </c>
      <c r="AC69" s="226">
        <f t="shared" si="28"/>
        <v>-2.1459125152034349E-2</v>
      </c>
      <c r="AD69" s="277">
        <v>-2.0033953434266102E-2</v>
      </c>
      <c r="AE69" s="119">
        <v>220.559</v>
      </c>
      <c r="AF69" s="119">
        <f t="shared" si="43"/>
        <v>173.50332264844982</v>
      </c>
      <c r="AG69" s="124">
        <f t="shared" si="44"/>
        <v>1.8921535221166144E-2</v>
      </c>
      <c r="AH69" s="119">
        <f t="shared" si="40"/>
        <v>1366583.564</v>
      </c>
      <c r="AI69" s="58">
        <v>126299</v>
      </c>
      <c r="AJ69" s="126">
        <f t="shared" si="29"/>
        <v>1492882.564</v>
      </c>
      <c r="AK69" s="119">
        <v>2.4413584287501475</v>
      </c>
      <c r="AL69" s="58">
        <f t="shared" si="30"/>
        <v>611496.67595686903</v>
      </c>
      <c r="AM69" s="127">
        <f t="shared" si="49"/>
        <v>3.4751031512643284E-2</v>
      </c>
      <c r="AN69" s="58">
        <f t="shared" si="5"/>
        <v>244.13584287501476</v>
      </c>
      <c r="AO69" s="58"/>
      <c r="AP69" s="119">
        <f t="shared" si="6"/>
        <v>404972.959834159</v>
      </c>
      <c r="AQ69" s="58"/>
      <c r="AR69" s="119">
        <v>665689.98829399887</v>
      </c>
      <c r="AS69" s="119">
        <v>140168.53053524159</v>
      </c>
      <c r="AT69" s="122">
        <v>4060380.1901509999</v>
      </c>
      <c r="AU69" s="124"/>
      <c r="AV69" s="145">
        <f t="shared" si="41"/>
        <v>8.4592939493908378E-2</v>
      </c>
      <c r="AW69" s="119">
        <f t="shared" si="23"/>
        <v>2.8018435536893288E-3</v>
      </c>
      <c r="AX69" s="119">
        <v>1168.0470749999999</v>
      </c>
      <c r="AY69" s="124"/>
      <c r="AZ69" s="119">
        <v>2487567</v>
      </c>
      <c r="BA69" s="119">
        <f t="shared" si="45"/>
        <v>1.0405741836362854</v>
      </c>
      <c r="BB69" s="119">
        <f t="shared" si="46"/>
        <v>1.0281366637955784</v>
      </c>
      <c r="BC69" s="119">
        <v>1.0267723669309177</v>
      </c>
      <c r="BD69" s="119">
        <f t="shared" si="31"/>
        <v>5.3402784072797737E-3</v>
      </c>
      <c r="BE69" s="119">
        <f t="shared" si="47"/>
        <v>4.3832815420574898E-2</v>
      </c>
      <c r="BF69" s="119">
        <f t="shared" si="32"/>
        <v>3.3714775287617745E-2</v>
      </c>
      <c r="BG69" s="119">
        <f t="shared" si="50"/>
        <v>-1944.5909647424617</v>
      </c>
      <c r="BH69" s="124">
        <f t="shared" si="51"/>
        <v>-1.6997807503685066E-2</v>
      </c>
    </row>
    <row r="70" spans="1:60" s="119" customFormat="1">
      <c r="A70" s="117">
        <v>2005</v>
      </c>
      <c r="B70" s="145">
        <v>9.8575816810946515E-2</v>
      </c>
      <c r="C70" s="119">
        <v>1600.4553197624919</v>
      </c>
      <c r="D70" s="117">
        <v>514.75915789333851</v>
      </c>
      <c r="E70" s="117">
        <v>86.234777267788274</v>
      </c>
      <c r="F70" s="117">
        <v>2271.1390000000001</v>
      </c>
      <c r="G70" s="119">
        <v>6121</v>
      </c>
      <c r="H70" s="124">
        <f t="shared" si="33"/>
        <v>-1.2104583602324026E-2</v>
      </c>
      <c r="I70" s="119">
        <v>53962326.67652221</v>
      </c>
      <c r="J70" s="117">
        <v>17971924.091679085</v>
      </c>
      <c r="K70" s="59">
        <v>8772.073952502451</v>
      </c>
      <c r="L70" s="119">
        <v>1.314629258517034</v>
      </c>
      <c r="M70" s="119">
        <f t="shared" si="34"/>
        <v>1727.5889649390244</v>
      </c>
      <c r="N70" s="119">
        <f t="shared" si="35"/>
        <v>3315243.223717988</v>
      </c>
      <c r="O70" s="124">
        <f t="shared" si="36"/>
        <v>0.1844679070981014</v>
      </c>
      <c r="P70" s="119">
        <f t="shared" si="42"/>
        <v>-2.0626730950148831E-2</v>
      </c>
      <c r="Q70" s="124">
        <f t="shared" si="15"/>
        <v>0.25890559202959085</v>
      </c>
      <c r="R70" s="119">
        <f t="shared" si="37"/>
        <v>13901641.819</v>
      </c>
      <c r="S70" s="119">
        <f t="shared" si="38"/>
        <v>0.25761753940547361</v>
      </c>
      <c r="T70" s="119">
        <v>153.81229189285179</v>
      </c>
      <c r="V70" s="119">
        <v>703508.80912967178</v>
      </c>
      <c r="W70" s="58">
        <v>83248.619275000005</v>
      </c>
      <c r="X70" s="119">
        <v>89.748999999999995</v>
      </c>
      <c r="Y70" s="58">
        <f t="shared" si="39"/>
        <v>549.35362899999996</v>
      </c>
      <c r="Z70" s="58">
        <f t="shared" si="16"/>
        <v>83797.972904000009</v>
      </c>
      <c r="AA70" s="121">
        <f t="shared" si="27"/>
        <v>787306.78203367174</v>
      </c>
      <c r="AB70" s="226">
        <f t="shared" si="48"/>
        <v>1.4589933950646556E-2</v>
      </c>
      <c r="AC70" s="226">
        <f t="shared" si="28"/>
        <v>-1.4589933950646556E-2</v>
      </c>
      <c r="AD70" s="277">
        <v>-1.30370362521035E-2</v>
      </c>
      <c r="AE70" s="119">
        <v>201.61099999999999</v>
      </c>
      <c r="AF70" s="119">
        <f t="shared" si="43"/>
        <v>153.35958689024389</v>
      </c>
      <c r="AG70" s="124">
        <f t="shared" si="44"/>
        <v>1.6375377824939519E-2</v>
      </c>
      <c r="AH70" s="119">
        <f t="shared" si="40"/>
        <v>1234060.9309999999</v>
      </c>
      <c r="AI70" s="58">
        <v>137839.10709999999</v>
      </c>
      <c r="AJ70" s="126">
        <f t="shared" si="29"/>
        <v>1371900.0380999998</v>
      </c>
      <c r="AK70" s="119">
        <v>2.607226278825244</v>
      </c>
      <c r="AL70" s="58">
        <f t="shared" si="30"/>
        <v>526191.39705746842</v>
      </c>
      <c r="AM70" s="127">
        <f t="shared" si="49"/>
        <v>2.927852323286256E-2</v>
      </c>
      <c r="AN70" s="58">
        <f t="shared" si="5"/>
        <v>260.72262788252442</v>
      </c>
      <c r="AO70" s="58"/>
      <c r="AP70" s="119">
        <f t="shared" si="6"/>
        <v>530552.12187032809</v>
      </c>
      <c r="AQ70" s="58"/>
      <c r="AR70" s="119">
        <v>374282.92539317161</v>
      </c>
      <c r="AS70" s="119">
        <v>198677.61822190043</v>
      </c>
      <c r="AT70" s="122">
        <v>4240519.0591190001</v>
      </c>
      <c r="AU70" s="124"/>
      <c r="AV70" s="145">
        <f t="shared" si="41"/>
        <v>7.8582954447810244E-2</v>
      </c>
      <c r="AW70" s="119">
        <f t="shared" si="23"/>
        <v>-6.0099850460981347E-3</v>
      </c>
      <c r="AX70" s="119">
        <v>1292.9581759999999</v>
      </c>
      <c r="AY70" s="124"/>
      <c r="AZ70" s="119">
        <v>2924898</v>
      </c>
      <c r="BA70" s="119">
        <f t="shared" si="45"/>
        <v>1.0213349066460404</v>
      </c>
      <c r="BB70" s="119">
        <f t="shared" si="46"/>
        <v>1.0985758168109465</v>
      </c>
      <c r="BC70" s="119">
        <v>1.0339274684549546</v>
      </c>
      <c r="BD70" s="119">
        <f t="shared" si="31"/>
        <v>9.1990920346340065E-3</v>
      </c>
      <c r="BE70" s="119">
        <f t="shared" si="47"/>
        <v>3.7541091744757886E-2</v>
      </c>
      <c r="BF70" s="119">
        <f t="shared" si="32"/>
        <v>4.1508889812961275E-2</v>
      </c>
      <c r="BG70" s="119">
        <f t="shared" si="50"/>
        <v>-1802.576982868819</v>
      </c>
      <c r="BH70" s="124">
        <f t="shared" si="51"/>
        <v>-1.1966482656508511E-2</v>
      </c>
    </row>
    <row r="71" spans="1:60" s="119" customFormat="1">
      <c r="A71" s="117">
        <v>2006</v>
      </c>
      <c r="B71" s="145">
        <v>0.12480935434672102</v>
      </c>
      <c r="C71" s="119">
        <v>1646.5484601023045</v>
      </c>
      <c r="D71" s="117">
        <v>518.77371478924681</v>
      </c>
      <c r="E71" s="117">
        <v>86.90731395691553</v>
      </c>
      <c r="F71" s="117">
        <v>2230.0569999999998</v>
      </c>
      <c r="G71" s="119">
        <v>5323</v>
      </c>
      <c r="H71" s="124">
        <f t="shared" si="33"/>
        <v>-0.13037085443554974</v>
      </c>
      <c r="I71" s="119">
        <v>59996506.118773416</v>
      </c>
      <c r="J71" s="117">
        <v>18835855.544550456</v>
      </c>
      <c r="K71" s="59">
        <v>10662.013294307888</v>
      </c>
      <c r="L71" s="119">
        <v>1.3480293921175686</v>
      </c>
      <c r="M71" s="119">
        <f t="shared" si="34"/>
        <v>1654.3088845391474</v>
      </c>
      <c r="N71" s="119">
        <f t="shared" si="35"/>
        <v>3174618.7494306238</v>
      </c>
      <c r="O71" s="124">
        <f t="shared" si="36"/>
        <v>0.168541255900059</v>
      </c>
      <c r="P71" s="119">
        <f t="shared" si="42"/>
        <v>-1.5926651198042402E-2</v>
      </c>
      <c r="Q71" s="124">
        <f t="shared" si="15"/>
        <v>0.20915909016832279</v>
      </c>
      <c r="R71" s="119">
        <f t="shared" si="37"/>
        <v>11870593.410999998</v>
      </c>
      <c r="S71" s="119">
        <f t="shared" si="38"/>
        <v>0.1978547448663113</v>
      </c>
      <c r="T71" s="119">
        <v>119.30736938895892</v>
      </c>
      <c r="V71" s="119">
        <v>1194283.0230276671</v>
      </c>
      <c r="W71" s="58">
        <v>53600.311565000004</v>
      </c>
      <c r="X71" s="119">
        <v>93.608000000000004</v>
      </c>
      <c r="Y71" s="58">
        <f t="shared" si="39"/>
        <v>498.27538400000003</v>
      </c>
      <c r="Z71" s="58">
        <f t="shared" si="16"/>
        <v>54098.586949000004</v>
      </c>
      <c r="AA71" s="121">
        <f t="shared" si="27"/>
        <v>1248381.609976667</v>
      </c>
      <c r="AB71" s="226">
        <f t="shared" si="48"/>
        <v>2.0807571819353624E-2</v>
      </c>
      <c r="AC71" s="226">
        <f t="shared" si="28"/>
        <v>-2.0807571819353624E-2</v>
      </c>
      <c r="AD71" s="277">
        <v>-1.9905876196580151E-2</v>
      </c>
      <c r="AE71" s="119">
        <v>210.93700000000001</v>
      </c>
      <c r="AF71" s="119">
        <f t="shared" si="43"/>
        <v>156.47804212091179</v>
      </c>
      <c r="AG71" s="124">
        <f t="shared" si="44"/>
        <v>1.594200816202938E-2</v>
      </c>
      <c r="AH71" s="119">
        <f t="shared" si="40"/>
        <v>1122817.6510000001</v>
      </c>
      <c r="AI71" s="58">
        <v>173464.18300000002</v>
      </c>
      <c r="AJ71" s="126">
        <f t="shared" si="29"/>
        <v>1296281.834</v>
      </c>
      <c r="AK71" s="119">
        <v>2.857380081158412</v>
      </c>
      <c r="AL71" s="58">
        <f t="shared" si="30"/>
        <v>453660.97515262081</v>
      </c>
      <c r="AM71" s="127">
        <f t="shared" si="49"/>
        <v>2.4084967846542703E-2</v>
      </c>
      <c r="AN71" s="58">
        <f t="shared" si="5"/>
        <v>285.73800811584118</v>
      </c>
      <c r="AO71" s="58"/>
      <c r="AP71" s="119">
        <f t="shared" si="6"/>
        <v>-71465.372027666905</v>
      </c>
      <c r="AQ71" s="58"/>
      <c r="AR71" s="119">
        <v>264412.04938700236</v>
      </c>
      <c r="AS71" s="119">
        <v>604546.5072820643</v>
      </c>
      <c r="AT71" s="122">
        <v>4789622.2997869998</v>
      </c>
      <c r="AU71" s="124"/>
      <c r="AV71" s="145">
        <f t="shared" si="41"/>
        <v>7.9831687036993754E-2</v>
      </c>
      <c r="AW71" s="119">
        <f t="shared" si="23"/>
        <v>1.2487325891835099E-3</v>
      </c>
      <c r="AX71" s="119">
        <v>1703.1192643459999</v>
      </c>
      <c r="AY71" s="124"/>
      <c r="AZ71" s="119">
        <v>3371323</v>
      </c>
      <c r="BA71" s="119">
        <f t="shared" si="45"/>
        <v>1.0480711719270708</v>
      </c>
      <c r="BB71" s="119">
        <f t="shared" si="46"/>
        <v>1.124809354346721</v>
      </c>
      <c r="BC71" s="119">
        <v>1.0322594410070403</v>
      </c>
      <c r="BD71" s="119">
        <f t="shared" si="31"/>
        <v>1.1923975386202138E-2</v>
      </c>
      <c r="BE71" s="119">
        <f t="shared" si="47"/>
        <v>4.1216323615595525E-2</v>
      </c>
      <c r="BF71" s="119">
        <f t="shared" si="32"/>
        <v>3.4699822975934116E-2</v>
      </c>
      <c r="BG71" s="119">
        <f t="shared" si="50"/>
        <v>-1667.6419336804631</v>
      </c>
      <c r="BH71" s="124">
        <f t="shared" si="51"/>
        <v>-9.7162061241817411E-3</v>
      </c>
    </row>
    <row r="72" spans="1:60" s="119" customFormat="1">
      <c r="A72" s="117">
        <v>2007</v>
      </c>
      <c r="B72" s="145">
        <v>5.966101694915249E-2</v>
      </c>
      <c r="C72" s="119">
        <v>1704.4752424099206</v>
      </c>
      <c r="D72" s="117">
        <v>526.06215801601581</v>
      </c>
      <c r="E72" s="117">
        <v>88.128306859424669</v>
      </c>
      <c r="F72" s="117">
        <v>2205.33</v>
      </c>
      <c r="G72" s="119">
        <v>4732</v>
      </c>
      <c r="H72" s="124">
        <f t="shared" si="33"/>
        <v>-0.11102761600601163</v>
      </c>
      <c r="I72" s="119">
        <v>69426262.232025474</v>
      </c>
      <c r="J72" s="117">
        <v>19857064.596928742</v>
      </c>
      <c r="K72" s="59">
        <v>13837.525590267269</v>
      </c>
      <c r="L72" s="119">
        <v>1.4030460921843686</v>
      </c>
      <c r="M72" s="119">
        <f t="shared" si="34"/>
        <v>1571.8157887219336</v>
      </c>
      <c r="N72" s="119">
        <f t="shared" si="35"/>
        <v>3016314.4985573906</v>
      </c>
      <c r="O72" s="124">
        <f t="shared" si="36"/>
        <v>0.15190132881090182</v>
      </c>
      <c r="P72" s="119">
        <f t="shared" si="42"/>
        <v>-1.663992708915718E-2</v>
      </c>
      <c r="Q72" s="124">
        <f t="shared" si="15"/>
        <v>0.15937314699899352</v>
      </c>
      <c r="R72" s="119">
        <f t="shared" si="37"/>
        <v>10435621.560000001</v>
      </c>
      <c r="S72" s="119">
        <f t="shared" si="38"/>
        <v>0.1503123058119378</v>
      </c>
      <c r="T72" s="119">
        <v>109.74361540085312</v>
      </c>
      <c r="V72" s="119">
        <v>1187331.5705753986</v>
      </c>
      <c r="W72" s="58">
        <v>71079.424020000006</v>
      </c>
      <c r="X72" s="119">
        <v>103.40600000000001</v>
      </c>
      <c r="Y72" s="58">
        <f t="shared" si="39"/>
        <v>489.31719200000003</v>
      </c>
      <c r="Z72" s="58">
        <f t="shared" si="16"/>
        <v>71568.741212000008</v>
      </c>
      <c r="AA72" s="121">
        <f t="shared" si="27"/>
        <v>1258900.3117873985</v>
      </c>
      <c r="AB72" s="226">
        <f t="shared" si="48"/>
        <v>1.8132912118761356E-2</v>
      </c>
      <c r="AC72" s="226">
        <f t="shared" si="28"/>
        <v>-1.8132912118761356E-2</v>
      </c>
      <c r="AD72" s="236">
        <v>-1.7102052341623791E-2</v>
      </c>
      <c r="AE72" s="119">
        <v>218.06299999999999</v>
      </c>
      <c r="AF72" s="119">
        <f t="shared" si="43"/>
        <v>155.42112352168201</v>
      </c>
      <c r="AG72" s="124">
        <f t="shared" si="44"/>
        <v>1.5020001298894808E-2</v>
      </c>
      <c r="AH72" s="119">
        <f t="shared" si="40"/>
        <v>1031874.1159999999</v>
      </c>
      <c r="AI72" s="58">
        <v>196170.96849999999</v>
      </c>
      <c r="AJ72" s="126">
        <f t="shared" si="29"/>
        <v>1228045.0844999999</v>
      </c>
      <c r="AK72" s="119">
        <v>3.0896986307953331</v>
      </c>
      <c r="AL72" s="58">
        <f t="shared" si="30"/>
        <v>397464.358581757</v>
      </c>
      <c r="AM72" s="127">
        <f t="shared" si="49"/>
        <v>2.0016269607302992E-2</v>
      </c>
      <c r="AN72" s="58">
        <f t="shared" si="5"/>
        <v>308.9698630795333</v>
      </c>
      <c r="AO72" s="58"/>
      <c r="AP72" s="119">
        <f t="shared" si="6"/>
        <v>-155457.45457539859</v>
      </c>
      <c r="AQ72" s="58"/>
      <c r="AR72" s="119">
        <v>592820.825736003</v>
      </c>
      <c r="AS72" s="119">
        <v>194636.15886600036</v>
      </c>
      <c r="AT72" s="122">
        <v>6476434.7144370005</v>
      </c>
      <c r="AU72" s="124"/>
      <c r="AV72" s="145">
        <f t="shared" si="41"/>
        <v>9.3285084148596167E-2</v>
      </c>
      <c r="AW72" s="119">
        <f t="shared" si="23"/>
        <v>1.3453397111602414E-2</v>
      </c>
      <c r="AX72" s="119">
        <v>2461.7888698809602</v>
      </c>
      <c r="AY72" s="124"/>
      <c r="AZ72" s="119">
        <v>4326096</v>
      </c>
      <c r="BA72" s="119">
        <f t="shared" si="45"/>
        <v>1.0542162287220205</v>
      </c>
      <c r="BB72" s="119">
        <f t="shared" si="46"/>
        <v>1.0596610169491525</v>
      </c>
      <c r="BC72" s="119">
        <v>1.0285267248150134</v>
      </c>
      <c r="BD72" s="119">
        <f t="shared" si="31"/>
        <v>8.3691135450840674E-3</v>
      </c>
      <c r="BE72" s="119">
        <f t="shared" si="47"/>
        <v>4.6369218365270491E-2</v>
      </c>
      <c r="BF72" s="119">
        <f t="shared" si="32"/>
        <v>3.8012284676531623E-2</v>
      </c>
      <c r="BG72" s="119">
        <f t="shared" si="50"/>
        <v>-1591.4248242771298</v>
      </c>
      <c r="BH72" s="124">
        <f t="shared" si="51"/>
        <v>-8.8482421848265335E-3</v>
      </c>
    </row>
    <row r="73" spans="1:60" s="119" customFormat="1">
      <c r="A73" s="117">
        <v>2008</v>
      </c>
      <c r="B73" s="145">
        <v>7.4999999999999956E-2</v>
      </c>
      <c r="C73" s="119">
        <v>1780.711035380062</v>
      </c>
      <c r="D73" s="117">
        <v>538.37233319831932</v>
      </c>
      <c r="E73" s="117">
        <v>90.190562962488229</v>
      </c>
      <c r="F73" s="117">
        <v>2234.1979999999999</v>
      </c>
      <c r="G73" s="119">
        <v>4892</v>
      </c>
      <c r="H73" s="124">
        <f t="shared" si="33"/>
        <v>3.3812341504649179E-2</v>
      </c>
      <c r="I73" s="119">
        <v>80734753.24228245</v>
      </c>
      <c r="J73" s="117">
        <v>21119799.320640549</v>
      </c>
      <c r="K73" s="59">
        <v>18504.760911426012</v>
      </c>
      <c r="L73" s="119">
        <v>1.4043286573146292</v>
      </c>
      <c r="M73" s="119">
        <f t="shared" si="34"/>
        <v>1590.9367001541184</v>
      </c>
      <c r="N73" s="119">
        <f t="shared" si="35"/>
        <v>3053007.5275957533</v>
      </c>
      <c r="O73" s="124">
        <f t="shared" si="36"/>
        <v>0.1445566542202901</v>
      </c>
      <c r="P73" s="119">
        <f t="shared" si="42"/>
        <v>-7.3446745906117217E-3</v>
      </c>
      <c r="Q73" s="124">
        <f t="shared" si="15"/>
        <v>0.12073638836481612</v>
      </c>
      <c r="R73" s="119">
        <f t="shared" si="37"/>
        <v>10929696.615999999</v>
      </c>
      <c r="S73" s="119">
        <f t="shared" si="38"/>
        <v>0.13537784135167075</v>
      </c>
      <c r="T73" s="119">
        <v>110.40428297527552</v>
      </c>
      <c r="V73" s="119">
        <v>2347223.9497665968</v>
      </c>
      <c r="W73" s="58">
        <v>95232.455992999996</v>
      </c>
      <c r="X73" s="119">
        <v>92.009</v>
      </c>
      <c r="Y73" s="58">
        <f t="shared" si="39"/>
        <v>450.10802799999999</v>
      </c>
      <c r="Z73" s="58">
        <f t="shared" si="16"/>
        <v>95682.564020999998</v>
      </c>
      <c r="AA73" s="121">
        <f t="shared" si="27"/>
        <v>2442906.513787597</v>
      </c>
      <c r="AB73" s="226">
        <f t="shared" si="48"/>
        <v>3.0258425469593144E-2</v>
      </c>
      <c r="AC73" s="226">
        <f t="shared" si="28"/>
        <v>-3.0258425469593144E-2</v>
      </c>
      <c r="AD73" s="236">
        <v>-2.9073278303367717E-2</v>
      </c>
      <c r="AE73" s="119">
        <v>234.803</v>
      </c>
      <c r="AF73" s="119">
        <f t="shared" si="43"/>
        <v>167.19946486671614</v>
      </c>
      <c r="AG73" s="124">
        <f t="shared" si="44"/>
        <v>1.5192179064204146E-2</v>
      </c>
      <c r="AH73" s="119">
        <f t="shared" si="40"/>
        <v>1148656.2760000001</v>
      </c>
      <c r="AI73" s="58">
        <v>164755.91319999998</v>
      </c>
      <c r="AJ73" s="126">
        <f t="shared" si="29"/>
        <v>1313412.1892000001</v>
      </c>
      <c r="AK73" s="119">
        <v>3.403450873052682</v>
      </c>
      <c r="AL73" s="58">
        <f t="shared" si="30"/>
        <v>385906.02250178851</v>
      </c>
      <c r="AM73" s="127">
        <f t="shared" si="49"/>
        <v>1.8272239079688578E-2</v>
      </c>
      <c r="AN73" s="58">
        <f t="shared" si="5"/>
        <v>340.34508730526818</v>
      </c>
      <c r="AO73" s="58"/>
      <c r="AP73" s="119">
        <f t="shared" si="6"/>
        <v>-1198567.6737665969</v>
      </c>
      <c r="AQ73" s="58"/>
      <c r="AR73" s="119">
        <v>1830511.3103979994</v>
      </c>
      <c r="AS73" s="119">
        <v>63849.559054999612</v>
      </c>
      <c r="AT73" s="122">
        <v>7616942.5720320009</v>
      </c>
      <c r="AU73" s="124"/>
      <c r="AV73" s="145">
        <f t="shared" si="41"/>
        <v>9.4345275933076747E-2</v>
      </c>
      <c r="AW73" s="119">
        <f t="shared" si="23"/>
        <v>1.0601917844805797E-3</v>
      </c>
      <c r="AX73" s="119">
        <v>2864.1061557570993</v>
      </c>
      <c r="AY73" s="124"/>
      <c r="AZ73" s="119">
        <v>4973923.3604340004</v>
      </c>
      <c r="BA73" s="119">
        <f t="shared" si="45"/>
        <v>1.0635912079324712</v>
      </c>
      <c r="BB73" s="119">
        <f t="shared" si="46"/>
        <v>1.075</v>
      </c>
      <c r="BC73" s="119">
        <v>1.03839100296651</v>
      </c>
      <c r="BD73" s="119">
        <f t="shared" si="31"/>
        <v>1.1696573622548306E-2</v>
      </c>
      <c r="BE73" s="119">
        <f t="shared" si="47"/>
        <v>4.1721193653557517E-2</v>
      </c>
      <c r="BF73" s="119">
        <f t="shared" si="32"/>
        <v>4.1984996369174299E-2</v>
      </c>
      <c r="BG73" s="119">
        <f t="shared" si="50"/>
        <v>-1505.8231085394323</v>
      </c>
      <c r="BH73" s="124">
        <f t="shared" si="51"/>
        <v>-7.0211698497415322E-3</v>
      </c>
    </row>
    <row r="74" spans="1:60" s="119" customFormat="1">
      <c r="A74" s="117">
        <v>2009</v>
      </c>
      <c r="B74" s="145">
        <v>1.8604651162790642E-2</v>
      </c>
      <c r="C74" s="119">
        <v>1680.2924245844038</v>
      </c>
      <c r="D74" s="117">
        <v>497.64205120802558</v>
      </c>
      <c r="E74" s="117">
        <v>83.367242305384011</v>
      </c>
      <c r="F74" s="117">
        <v>2236.8530000000001</v>
      </c>
      <c r="G74" s="119">
        <v>4654</v>
      </c>
      <c r="H74" s="124">
        <f t="shared" si="33"/>
        <v>-4.8650858544562525E-2</v>
      </c>
      <c r="I74" s="119">
        <v>79117170.176796183</v>
      </c>
      <c r="J74" s="117">
        <v>20282252.396957401</v>
      </c>
      <c r="K74" s="59">
        <v>15954.961409856867</v>
      </c>
      <c r="L74" s="119">
        <v>1.4425450901803605</v>
      </c>
      <c r="M74" s="119">
        <f t="shared" si="34"/>
        <v>1550.629519469875</v>
      </c>
      <c r="N74" s="119">
        <f t="shared" si="35"/>
        <v>2975658.0478626904</v>
      </c>
      <c r="O74" s="124">
        <f t="shared" si="36"/>
        <v>0.14671240598056443</v>
      </c>
      <c r="P74" s="119">
        <f t="shared" si="42"/>
        <v>2.155751760274327E-3</v>
      </c>
      <c r="Q74" s="124">
        <f t="shared" si="15"/>
        <v>0.14019795739638</v>
      </c>
      <c r="R74" s="119">
        <f t="shared" si="37"/>
        <v>10410313.862</v>
      </c>
      <c r="S74" s="119">
        <f t="shared" si="38"/>
        <v>0.13158096831240282</v>
      </c>
      <c r="T74" s="119">
        <v>98.474845671947691</v>
      </c>
      <c r="V74" s="119">
        <v>-372113.91863440239</v>
      </c>
      <c r="W74" s="58">
        <v>100029.24100000001</v>
      </c>
      <c r="X74" s="119">
        <v>87.870999999999995</v>
      </c>
      <c r="Y74" s="58">
        <f t="shared" si="39"/>
        <v>408.95163399999996</v>
      </c>
      <c r="Z74" s="58">
        <f t="shared" si="16"/>
        <v>100438.19263400001</v>
      </c>
      <c r="AA74" s="121">
        <f t="shared" si="27"/>
        <v>-271675.72600040236</v>
      </c>
      <c r="AB74" s="226">
        <f t="shared" si="48"/>
        <v>-3.4338402826252822E-3</v>
      </c>
      <c r="AC74" s="226">
        <f t="shared" si="28"/>
        <v>3.4338402826252822E-3</v>
      </c>
      <c r="AD74" s="236">
        <v>4.7033269491675717E-3</v>
      </c>
      <c r="AE74" s="119">
        <v>251.09299999999999</v>
      </c>
      <c r="AF74" s="119">
        <f t="shared" si="43"/>
        <v>174.0624967006099</v>
      </c>
      <c r="AG74" s="124">
        <f t="shared" si="44"/>
        <v>1.6468877550235919E-2</v>
      </c>
      <c r="AH74" s="119">
        <f t="shared" si="40"/>
        <v>1168586.8219999999</v>
      </c>
      <c r="AI74" s="58">
        <v>315544.20899999997</v>
      </c>
      <c r="AJ74" s="126">
        <f t="shared" si="29"/>
        <v>1484131.031</v>
      </c>
      <c r="AK74" s="119">
        <v>3.4916665068104682</v>
      </c>
      <c r="AL74" s="58">
        <f t="shared" si="30"/>
        <v>425049.4794119696</v>
      </c>
      <c r="AM74" s="127">
        <f t="shared" si="49"/>
        <v>2.0956719751487388E-2</v>
      </c>
      <c r="AN74" s="58">
        <f t="shared" si="5"/>
        <v>349.1666506810468</v>
      </c>
      <c r="AO74" s="58"/>
      <c r="AP74" s="119">
        <f t="shared" si="6"/>
        <v>1540700.7406344023</v>
      </c>
      <c r="AQ74" s="58"/>
      <c r="AR74" s="119">
        <v>44639.144186995924</v>
      </c>
      <c r="AS74" s="119">
        <v>-842497.797487</v>
      </c>
      <c r="AT74" s="122">
        <v>10160304.167924</v>
      </c>
      <c r="AU74" s="124"/>
      <c r="AV74" s="145">
        <f t="shared" si="41"/>
        <v>0.12842097543705952</v>
      </c>
      <c r="AW74" s="119">
        <f t="shared" si="23"/>
        <v>3.4075699503982773E-2</v>
      </c>
      <c r="AX74" s="119">
        <v>3860.6602632712102</v>
      </c>
      <c r="AY74" s="124"/>
      <c r="AZ74" s="119">
        <v>5537799</v>
      </c>
      <c r="BA74" s="119">
        <f t="shared" si="45"/>
        <v>0.96034304535911919</v>
      </c>
      <c r="BB74" s="119">
        <f t="shared" si="46"/>
        <v>1.0186046511627906</v>
      </c>
      <c r="BC74" s="119">
        <v>0.99644453733700289</v>
      </c>
      <c r="BD74" s="119">
        <f t="shared" si="31"/>
        <v>-2.1015875015778082E-3</v>
      </c>
      <c r="BE74" s="119">
        <f t="shared" si="47"/>
        <v>3.9329996714704787E-2</v>
      </c>
      <c r="BF74" s="119">
        <f t="shared" si="32"/>
        <v>4.3599067327875468E-2</v>
      </c>
      <c r="BG74" s="119">
        <f t="shared" si="50"/>
        <v>-1521.5733438497109</v>
      </c>
      <c r="BH74" s="124">
        <f t="shared" si="51"/>
        <v>-7.1120253460468415E-3</v>
      </c>
    </row>
    <row r="75" spans="1:60" s="119" customFormat="1">
      <c r="A75" s="117">
        <v>2010</v>
      </c>
      <c r="B75" s="145">
        <v>7.214611872146115E-2</v>
      </c>
      <c r="C75" s="119">
        <v>1867.7482514495016</v>
      </c>
      <c r="D75" s="117">
        <v>541.86794354455026</v>
      </c>
      <c r="E75" s="117">
        <v>90.776163383578094</v>
      </c>
      <c r="F75" s="117">
        <v>2335.4250000000002</v>
      </c>
      <c r="G75" s="119">
        <v>4574</v>
      </c>
      <c r="H75" s="124">
        <f t="shared" si="33"/>
        <v>-1.7189514396218297E-2</v>
      </c>
      <c r="I75" s="119">
        <v>94934255.213694632</v>
      </c>
      <c r="J75" s="117">
        <v>22937808.012133818</v>
      </c>
      <c r="K75" s="59">
        <v>20028.375553907728</v>
      </c>
      <c r="L75" s="119">
        <v>1.464121576486306</v>
      </c>
      <c r="M75" s="119">
        <f t="shared" si="34"/>
        <v>1595.103191911634</v>
      </c>
      <c r="N75" s="119">
        <f t="shared" si="35"/>
        <v>3061003.0252784258</v>
      </c>
      <c r="O75" s="124">
        <f t="shared" si="36"/>
        <v>0.13344793119112308</v>
      </c>
      <c r="P75" s="119">
        <f t="shared" si="42"/>
        <v>-1.3264474789441344E-2</v>
      </c>
      <c r="Q75" s="124">
        <f t="shared" si="15"/>
        <v>0.11660581227439268</v>
      </c>
      <c r="R75" s="119">
        <f t="shared" si="37"/>
        <v>10682233.950000001</v>
      </c>
      <c r="S75" s="119">
        <f t="shared" si="38"/>
        <v>0.11252243909171204</v>
      </c>
      <c r="T75" s="119">
        <v>94.801800849849798</v>
      </c>
      <c r="V75" s="119">
        <v>735344.13448900823</v>
      </c>
      <c r="W75" s="58">
        <v>112082.75840800002</v>
      </c>
      <c r="X75" s="119">
        <v>59.962000000000003</v>
      </c>
      <c r="Y75" s="58">
        <f t="shared" si="39"/>
        <v>274.266188</v>
      </c>
      <c r="Z75" s="58">
        <f t="shared" si="16"/>
        <v>112357.02459600002</v>
      </c>
      <c r="AA75" s="121">
        <f t="shared" si="27"/>
        <v>847701.1590850082</v>
      </c>
      <c r="AB75" s="226">
        <f t="shared" si="48"/>
        <v>8.929349655473191E-3</v>
      </c>
      <c r="AC75" s="226">
        <f t="shared" si="28"/>
        <v>-8.929349655473191E-3</v>
      </c>
      <c r="AD75" s="236">
        <v>-7.7458250747716615E-3</v>
      </c>
      <c r="AE75" s="119">
        <v>240.82499999999999</v>
      </c>
      <c r="AF75" s="119">
        <f t="shared" si="43"/>
        <v>164.48429137827983</v>
      </c>
      <c r="AG75" s="124">
        <f t="shared" si="44"/>
        <v>1.376092061577752E-2</v>
      </c>
      <c r="AH75" s="119">
        <f t="shared" si="40"/>
        <v>1101533.55</v>
      </c>
      <c r="AI75" s="58">
        <v>431831.29908000003</v>
      </c>
      <c r="AJ75" s="126">
        <f t="shared" si="29"/>
        <v>1533364.8490800001</v>
      </c>
      <c r="AK75" s="119">
        <v>3.65406960015049</v>
      </c>
      <c r="AL75" s="58">
        <f t="shared" si="30"/>
        <v>419632.08610390167</v>
      </c>
      <c r="AM75" s="127">
        <f t="shared" si="49"/>
        <v>1.8294341197812862E-2</v>
      </c>
      <c r="AN75" s="58">
        <f t="shared" si="5"/>
        <v>365.40696001504898</v>
      </c>
      <c r="AO75" s="58"/>
      <c r="AP75" s="119">
        <f t="shared" si="6"/>
        <v>366189.41551099188</v>
      </c>
      <c r="AQ75" s="58"/>
      <c r="AR75" s="119">
        <v>1173783.3144870065</v>
      </c>
      <c r="AS75" s="119">
        <v>-878499.9566979995</v>
      </c>
      <c r="AT75" s="122">
        <v>10273551.947507001</v>
      </c>
      <c r="AU75" s="124"/>
      <c r="AV75" s="145">
        <f t="shared" si="41"/>
        <v>0.10821754407175253</v>
      </c>
      <c r="AW75" s="119">
        <f t="shared" si="23"/>
        <v>-2.0203431365306987E-2</v>
      </c>
      <c r="AX75" s="119">
        <v>4168.2296803111603</v>
      </c>
      <c r="AY75" s="124"/>
      <c r="AZ75" s="119">
        <v>6563534</v>
      </c>
      <c r="BA75" s="119">
        <f t="shared" si="45"/>
        <v>1.130930015227243</v>
      </c>
      <c r="BB75" s="119">
        <f t="shared" si="46"/>
        <v>1.0721461187214611</v>
      </c>
      <c r="BC75" s="119">
        <v>1.016400434423899</v>
      </c>
      <c r="BD75" s="119">
        <f t="shared" si="31"/>
        <v>2.2508710371731151E-2</v>
      </c>
      <c r="BE75" s="119">
        <f t="shared" si="47"/>
        <v>2.6806410613482424E-2</v>
      </c>
      <c r="BF75" s="119">
        <f t="shared" si="32"/>
        <v>3.4215535197869212E-2</v>
      </c>
      <c r="BG75" s="119">
        <f t="shared" si="50"/>
        <v>-1497.5739005675985</v>
      </c>
      <c r="BH75" s="124">
        <f t="shared" si="51"/>
        <v>-6.140214035208127E-3</v>
      </c>
    </row>
    <row r="76" spans="1:60" s="119" customFormat="1">
      <c r="A76" s="117">
        <v>2011</v>
      </c>
      <c r="B76" s="145">
        <v>4.9403747870528036E-2</v>
      </c>
      <c r="C76" s="119">
        <v>1915.9866143093668</v>
      </c>
      <c r="D76" s="117">
        <v>544.51583016300754</v>
      </c>
      <c r="E76" s="117">
        <v>91.219749299965684</v>
      </c>
      <c r="F76" s="117">
        <v>2284.723</v>
      </c>
      <c r="G76" s="119">
        <v>4440</v>
      </c>
      <c r="H76" s="124">
        <f t="shared" si="33"/>
        <v>-2.9296020988194171E-2</v>
      </c>
      <c r="I76" s="119">
        <v>105203213.929758</v>
      </c>
      <c r="J76" s="117">
        <v>23933861.037312727</v>
      </c>
      <c r="K76" s="59">
        <v>25149.416075977198</v>
      </c>
      <c r="L76" s="119">
        <v>1.5074949899799599</v>
      </c>
      <c r="M76" s="119">
        <f t="shared" si="34"/>
        <v>1515.5758494629374</v>
      </c>
      <c r="N76" s="119">
        <f t="shared" si="35"/>
        <v>2908390.0551193771</v>
      </c>
      <c r="O76" s="124">
        <f t="shared" si="36"/>
        <v>0.12151779650534515</v>
      </c>
      <c r="P76" s="119">
        <f t="shared" si="42"/>
        <v>-1.1930134685777929E-2</v>
      </c>
      <c r="Q76" s="124">
        <f t="shared" si="15"/>
        <v>9.0845966089144095E-2</v>
      </c>
      <c r="R76" s="119">
        <f t="shared" si="37"/>
        <v>10144170.119999999</v>
      </c>
      <c r="S76" s="119">
        <f t="shared" si="38"/>
        <v>9.6424526790341705E-2</v>
      </c>
      <c r="T76" s="119">
        <v>94.047479486409514</v>
      </c>
      <c r="V76" s="119">
        <v>1360537.8390429956</v>
      </c>
      <c r="W76" s="58">
        <v>71597.131849999991</v>
      </c>
      <c r="X76" s="119">
        <v>60.594000000000001</v>
      </c>
      <c r="Y76" s="58">
        <f t="shared" si="39"/>
        <v>269.03735999999998</v>
      </c>
      <c r="Z76" s="58">
        <f t="shared" si="16"/>
        <v>71866.169209999993</v>
      </c>
      <c r="AA76" s="121">
        <f t="shared" si="27"/>
        <v>1432404.0082529956</v>
      </c>
      <c r="AB76" s="226">
        <f t="shared" si="48"/>
        <v>1.3615591717657808E-2</v>
      </c>
      <c r="AC76" s="226">
        <f t="shared" si="28"/>
        <v>-1.3615591717657808E-2</v>
      </c>
      <c r="AD76" s="236">
        <v>-1.2932474096764748E-2</v>
      </c>
      <c r="AE76" s="119">
        <v>232.41300000000001</v>
      </c>
      <c r="AF76" s="119">
        <f t="shared" si="43"/>
        <v>154.1716566521323</v>
      </c>
      <c r="AG76" s="124">
        <f t="shared" si="44"/>
        <v>1.2361374065563651E-2</v>
      </c>
      <c r="AH76" s="119">
        <f t="shared" si="40"/>
        <v>1031913.7200000001</v>
      </c>
      <c r="AI76" s="58">
        <v>509487.08074100007</v>
      </c>
      <c r="AJ76" s="126">
        <f t="shared" si="29"/>
        <v>1541400.8007410001</v>
      </c>
      <c r="AK76" s="119">
        <v>3.9556753449248157</v>
      </c>
      <c r="AL76" s="58">
        <f t="shared" si="30"/>
        <v>389668.17707086046</v>
      </c>
      <c r="AM76" s="127">
        <f t="shared" si="49"/>
        <v>1.6281041176907079E-2</v>
      </c>
      <c r="AN76" s="58">
        <f t="shared" si="5"/>
        <v>395.56753449248157</v>
      </c>
      <c r="AO76" s="58"/>
      <c r="AP76" s="119">
        <f t="shared" si="6"/>
        <v>-328624.1190429955</v>
      </c>
      <c r="AQ76" s="58"/>
      <c r="AR76" s="119">
        <v>786819.64291699999</v>
      </c>
      <c r="AS76" s="119">
        <v>68016.107111000456</v>
      </c>
      <c r="AT76" s="122">
        <v>11598787.269677</v>
      </c>
      <c r="AU76" s="124"/>
      <c r="AV76" s="145">
        <f t="shared" si="41"/>
        <v>0.11025126359182591</v>
      </c>
      <c r="AW76" s="119">
        <f t="shared" si="23"/>
        <v>2.0337195200733765E-3</v>
      </c>
      <c r="AX76" s="119">
        <v>4983.9365205540698</v>
      </c>
      <c r="AY76" s="124"/>
      <c r="AZ76" s="119">
        <v>7324268</v>
      </c>
      <c r="BA76" s="119">
        <f t="shared" si="45"/>
        <v>1.0434240719362551</v>
      </c>
      <c r="BB76" s="119">
        <f t="shared" si="46"/>
        <v>1.049403747870528</v>
      </c>
      <c r="BC76" s="119">
        <v>1.0315684156862199</v>
      </c>
      <c r="BD76" s="119">
        <f t="shared" si="31"/>
        <v>9.3863116533591268E-3</v>
      </c>
      <c r="BE76" s="119">
        <f t="shared" si="47"/>
        <v>2.5945598766819743E-2</v>
      </c>
      <c r="BF76" s="119">
        <f t="shared" si="32"/>
        <v>2.4904611849622699E-2</v>
      </c>
      <c r="BG76" s="119">
        <f t="shared" si="50"/>
        <v>-1555.3777660569806</v>
      </c>
      <c r="BH76" s="124">
        <f t="shared" si="51"/>
        <v>-5.6520574468462825E-3</v>
      </c>
    </row>
    <row r="77" spans="1:60" s="119" customFormat="1">
      <c r="A77" s="117">
        <v>2012</v>
      </c>
      <c r="B77" s="145">
        <v>3.9772727272727293E-2</v>
      </c>
      <c r="C77" s="119">
        <v>1860.8139648577087</v>
      </c>
      <c r="D77" s="117">
        <v>518.04073964316683</v>
      </c>
      <c r="E77" s="117">
        <v>86.784522652485492</v>
      </c>
      <c r="F77" s="117">
        <v>2241.06</v>
      </c>
      <c r="G77" s="119">
        <v>4289</v>
      </c>
      <c r="H77" s="124">
        <f t="shared" si="33"/>
        <v>-3.400900900900905E-2</v>
      </c>
      <c r="I77" s="119">
        <v>108832260.32910401</v>
      </c>
      <c r="J77" s="117">
        <v>23637328.194770999</v>
      </c>
      <c r="K77" s="59">
        <v>24690.711391574045</v>
      </c>
      <c r="L77" s="119">
        <v>1.5337408149632599</v>
      </c>
      <c r="M77" s="119">
        <f t="shared" si="34"/>
        <v>1461.1725645794224</v>
      </c>
      <c r="N77" s="119">
        <f t="shared" si="35"/>
        <v>2803990.1514279116</v>
      </c>
      <c r="O77" s="124">
        <f t="shared" si="36"/>
        <v>0.11862551166202466</v>
      </c>
      <c r="P77" s="119">
        <f t="shared" si="42"/>
        <v>-2.8922848433204917E-3</v>
      </c>
      <c r="Q77" s="124">
        <f t="shared" si="15"/>
        <v>9.0765307020063607E-2</v>
      </c>
      <c r="R77" s="119">
        <f t="shared" si="37"/>
        <v>9611906.3399999999</v>
      </c>
      <c r="S77" s="119">
        <f t="shared" si="38"/>
        <v>8.8318540026036535E-2</v>
      </c>
      <c r="T77" s="119">
        <v>86.972798801581774</v>
      </c>
      <c r="V77" s="119">
        <v>-1739656.8201899943</v>
      </c>
      <c r="W77" s="58">
        <v>58270.292032000012</v>
      </c>
      <c r="X77" s="119">
        <v>53.454000000000001</v>
      </c>
      <c r="Y77" s="58">
        <f t="shared" si="39"/>
        <v>229.264206</v>
      </c>
      <c r="Z77" s="58">
        <f t="shared" si="16"/>
        <v>58499.556238000012</v>
      </c>
      <c r="AA77" s="121">
        <f t="shared" si="27"/>
        <v>-1681157.2639519942</v>
      </c>
      <c r="AB77" s="226">
        <f t="shared" si="48"/>
        <v>-1.5447232822953856E-2</v>
      </c>
      <c r="AC77" s="226">
        <f t="shared" si="28"/>
        <v>1.5447232822953856E-2</v>
      </c>
      <c r="AD77" s="236">
        <v>1.5984753187422075E-2</v>
      </c>
      <c r="AE77" s="119">
        <v>238.51400000000001</v>
      </c>
      <c r="AF77" s="119">
        <f t="shared" si="43"/>
        <v>155.51128174528858</v>
      </c>
      <c r="AG77" s="124">
        <f t="shared" si="44"/>
        <v>1.2625206504313207E-2</v>
      </c>
      <c r="AH77" s="119">
        <f t="shared" si="40"/>
        <v>1022986.5460000001</v>
      </c>
      <c r="AI77" s="58">
        <v>4253368.8169140005</v>
      </c>
      <c r="AJ77" s="126">
        <f t="shared" si="29"/>
        <v>5276355.3629140006</v>
      </c>
      <c r="AK77" s="119">
        <v>4.1010827657059981</v>
      </c>
      <c r="AL77" s="58">
        <f t="shared" si="30"/>
        <v>1286576.1713067209</v>
      </c>
      <c r="AM77" s="127">
        <f t="shared" si="49"/>
        <v>5.4429847599752605E-2</v>
      </c>
      <c r="AN77" s="58">
        <f t="shared" si="5"/>
        <v>410.1082765705998</v>
      </c>
      <c r="AO77" s="58"/>
      <c r="AP77" s="119">
        <f t="shared" si="6"/>
        <v>2762643.3661899944</v>
      </c>
      <c r="AQ77" s="58"/>
      <c r="AR77" s="119">
        <v>-1966226.5704989955</v>
      </c>
      <c r="AS77" s="119">
        <v>-358336.15993500315</v>
      </c>
      <c r="AT77" s="122">
        <v>13591719.116319001</v>
      </c>
      <c r="AU77" s="124"/>
      <c r="AV77" s="145">
        <f t="shared" si="41"/>
        <v>0.12488685868710468</v>
      </c>
      <c r="AW77" s="119">
        <f t="shared" si="23"/>
        <v>1.4635595095278772E-2</v>
      </c>
      <c r="AX77" s="119">
        <v>4994.2501473768407</v>
      </c>
      <c r="AY77" s="124"/>
      <c r="AZ77" s="119">
        <v>8606190</v>
      </c>
      <c r="BA77" s="119">
        <f t="shared" si="45"/>
        <v>0.98761032154070605</v>
      </c>
      <c r="BB77" s="119">
        <f t="shared" si="46"/>
        <v>1.0397727272727273</v>
      </c>
      <c r="BC77" s="119">
        <v>1.0206933726526126</v>
      </c>
      <c r="BD77" s="119">
        <f t="shared" si="31"/>
        <v>2.8870534066371177E-3</v>
      </c>
      <c r="BE77" s="119">
        <f t="shared" si="47"/>
        <v>2.339627167057013E-2</v>
      </c>
      <c r="BF77" s="119">
        <f t="shared" si="32"/>
        <v>2.5738473294325326E-2</v>
      </c>
      <c r="BG77" s="119">
        <f t="shared" si="50"/>
        <v>-1476.5672409360111</v>
      </c>
      <c r="BH77" s="124">
        <f t="shared" si="51"/>
        <v>-5.7550452591347123E-3</v>
      </c>
    </row>
    <row r="78" spans="1:60" s="119" customFormat="1">
      <c r="A78" s="117">
        <v>2013</v>
      </c>
      <c r="B78" s="145">
        <v>3.7470725995316201E-2</v>
      </c>
      <c r="C78" s="119">
        <v>2087.3598618997353</v>
      </c>
      <c r="D78" s="117">
        <v>569.24759561181429</v>
      </c>
      <c r="E78" s="117">
        <v>95.362926263820597</v>
      </c>
      <c r="F78" s="117">
        <v>2676.9250000000002</v>
      </c>
      <c r="G78" s="119">
        <v>4524</v>
      </c>
      <c r="H78" s="124">
        <f t="shared" si="33"/>
        <v>5.4791326649568761E-2</v>
      </c>
      <c r="I78" s="119">
        <v>125152244.90377593</v>
      </c>
      <c r="J78" s="117">
        <v>26955128.992666699</v>
      </c>
      <c r="K78" s="59">
        <v>28914.73615183698</v>
      </c>
      <c r="L78" s="119">
        <v>1.5567735470941884</v>
      </c>
      <c r="M78" s="119">
        <f t="shared" si="34"/>
        <v>1719.5339713965734</v>
      </c>
      <c r="N78" s="119">
        <f t="shared" si="35"/>
        <v>3299785.6911100242</v>
      </c>
      <c r="O78" s="124">
        <f t="shared" si="36"/>
        <v>0.12241772955372428</v>
      </c>
      <c r="P78" s="119">
        <f t="shared" si="42"/>
        <v>3.7922178916996174E-3</v>
      </c>
      <c r="Q78" s="124">
        <f t="shared" si="15"/>
        <v>9.2579955976182501E-2</v>
      </c>
      <c r="R78" s="119">
        <f t="shared" si="37"/>
        <v>12110408.700000001</v>
      </c>
      <c r="S78" s="119">
        <f t="shared" si="38"/>
        <v>9.676541327174086E-2</v>
      </c>
      <c r="T78" s="119">
        <v>92.12847867307066</v>
      </c>
      <c r="V78" s="119">
        <v>-2396393.6821040073</v>
      </c>
      <c r="W78" s="58">
        <v>185337.138898</v>
      </c>
      <c r="X78" s="119">
        <v>64.524000000000001</v>
      </c>
      <c r="Y78" s="58">
        <f t="shared" si="39"/>
        <v>291.90657599999997</v>
      </c>
      <c r="Z78" s="58">
        <f t="shared" si="16"/>
        <v>185629.04547400001</v>
      </c>
      <c r="AA78" s="121">
        <f t="shared" si="27"/>
        <v>-2210764.6366300075</v>
      </c>
      <c r="AB78" s="226">
        <f t="shared" si="48"/>
        <v>-1.7664602327587233E-2</v>
      </c>
      <c r="AC78" s="226">
        <f t="shared" si="28"/>
        <v>1.7664602327587233E-2</v>
      </c>
      <c r="AD78" s="236">
        <v>1.9147828182758442E-2</v>
      </c>
      <c r="AE78" s="119">
        <v>210.298</v>
      </c>
      <c r="AF78" s="119">
        <f t="shared" si="43"/>
        <v>135.08579998197803</v>
      </c>
      <c r="AG78" s="124">
        <f t="shared" si="44"/>
        <v>9.6170806764063633E-3</v>
      </c>
      <c r="AH78" s="119">
        <f t="shared" si="40"/>
        <v>951388.152</v>
      </c>
      <c r="AI78" s="58">
        <v>173358.118464</v>
      </c>
      <c r="AJ78" s="126">
        <f t="shared" si="29"/>
        <v>1124746.2704640001</v>
      </c>
      <c r="AK78" s="119">
        <v>4.211149978468006</v>
      </c>
      <c r="AL78" s="58">
        <f t="shared" si="30"/>
        <v>267087.67823870684</v>
      </c>
      <c r="AM78" s="127">
        <f t="shared" si="49"/>
        <v>9.9086032313690509E-3</v>
      </c>
      <c r="AN78" s="58">
        <f t="shared" si="5"/>
        <v>421.11499784680058</v>
      </c>
      <c r="AO78" s="58"/>
      <c r="AP78" s="119">
        <f t="shared" si="6"/>
        <v>3347781.8341040076</v>
      </c>
      <c r="AQ78" s="58"/>
      <c r="AR78" s="119">
        <v>-2460486.2758840062</v>
      </c>
      <c r="AS78" s="119">
        <v>22633.015028999187</v>
      </c>
      <c r="AT78" s="122">
        <v>13164096.192934999</v>
      </c>
      <c r="AU78" s="124"/>
      <c r="AV78" s="145">
        <f t="shared" si="41"/>
        <v>0.10518465891727548</v>
      </c>
      <c r="AW78" s="119">
        <f t="shared" si="23"/>
        <v>-1.9702199769829204E-2</v>
      </c>
      <c r="AX78" s="119">
        <v>5871.225365199999</v>
      </c>
      <c r="AY78" s="124"/>
      <c r="AZ78" s="119">
        <v>9743950</v>
      </c>
      <c r="BA78" s="119">
        <f t="shared" si="45"/>
        <v>1.140362767338047</v>
      </c>
      <c r="BB78" s="119">
        <f t="shared" si="46"/>
        <v>1.0374707259953162</v>
      </c>
      <c r="BC78" s="119">
        <v>1.014648326556266</v>
      </c>
      <c r="BD78" s="119">
        <f t="shared" si="31"/>
        <v>1.9327228175991706E-2</v>
      </c>
      <c r="BE78" s="119">
        <f t="shared" si="47"/>
        <v>2.8791732483735375E-2</v>
      </c>
      <c r="BF78" s="119">
        <f t="shared" si="32"/>
        <v>2.0220322731009897E-2</v>
      </c>
      <c r="BG78" s="119">
        <f t="shared" si="50"/>
        <v>-1431.6271837579291</v>
      </c>
      <c r="BH78" s="124">
        <f t="shared" si="51"/>
        <v>-4.829496831689933E-3</v>
      </c>
    </row>
    <row r="79" spans="1:60" s="119" customFormat="1">
      <c r="A79" s="117">
        <v>2014</v>
      </c>
      <c r="B79" s="145">
        <v>4.2136945071482357E-2</v>
      </c>
      <c r="C79" s="119">
        <v>2150.9400451548895</v>
      </c>
      <c r="D79" s="117">
        <v>574.61254141590177</v>
      </c>
      <c r="E79" s="117">
        <v>96.261686197228329</v>
      </c>
      <c r="F79" s="119">
        <v>3679.598</v>
      </c>
      <c r="G79" s="119">
        <v>4630</v>
      </c>
      <c r="H79" s="124">
        <f t="shared" si="33"/>
        <v>2.3430592396109562E-2</v>
      </c>
      <c r="I79" s="119">
        <v>137797686.414745</v>
      </c>
      <c r="J79" s="117">
        <v>28228040.14509809</v>
      </c>
      <c r="K79" s="59">
        <v>30657.221854285337</v>
      </c>
      <c r="L79" s="119">
        <v>1.5685504342017369</v>
      </c>
      <c r="M79" s="119">
        <f t="shared" si="34"/>
        <v>2345.8589024411017</v>
      </c>
      <c r="N79" s="119">
        <f t="shared" si="35"/>
        <v>4501703.2337844744</v>
      </c>
      <c r="O79" s="124">
        <f t="shared" si="36"/>
        <v>0.15947629416157724</v>
      </c>
      <c r="P79" s="119">
        <f t="shared" si="42"/>
        <v>3.7058564607852965E-2</v>
      </c>
      <c r="Q79" s="124">
        <f t="shared" si="15"/>
        <v>0.12002385661327161</v>
      </c>
      <c r="R79" s="119">
        <f t="shared" si="37"/>
        <v>17036538.739999998</v>
      </c>
      <c r="S79" s="119">
        <f t="shared" si="38"/>
        <v>0.12363443235703708</v>
      </c>
      <c r="T79" s="119">
        <v>90.931292409636939</v>
      </c>
      <c r="V79" s="119">
        <v>-2034214.3681629961</v>
      </c>
      <c r="W79" s="58">
        <v>243250.16174100002</v>
      </c>
      <c r="X79" s="119">
        <v>64.524000000000001</v>
      </c>
      <c r="Y79" s="58">
        <f t="shared" si="39"/>
        <v>298.74612000000002</v>
      </c>
      <c r="Z79" s="58">
        <f t="shared" si="16"/>
        <v>243548.90786100001</v>
      </c>
      <c r="AA79" s="121">
        <f t="shared" si="27"/>
        <v>-1790665.4603019962</v>
      </c>
      <c r="AB79" s="226">
        <f t="shared" si="48"/>
        <v>-1.2994887700163785E-2</v>
      </c>
      <c r="AC79" s="226">
        <f t="shared" si="28"/>
        <v>1.2994887700163785E-2</v>
      </c>
      <c r="AD79" s="236">
        <v>1.4762325994649831E-2</v>
      </c>
      <c r="AE79" s="121"/>
      <c r="AF79" s="119">
        <f t="shared" si="43"/>
        <v>0</v>
      </c>
      <c r="AG79" s="124">
        <f t="shared" si="44"/>
        <v>0</v>
      </c>
      <c r="AI79" s="58">
        <v>456206.00692200003</v>
      </c>
      <c r="AJ79" s="126">
        <f t="shared" si="29"/>
        <v>456206.00692200003</v>
      </c>
      <c r="AK79" s="119">
        <v>4.4229214540027524</v>
      </c>
      <c r="AL79" s="58">
        <f t="shared" si="30"/>
        <v>103145.85318017183</v>
      </c>
      <c r="AM79" s="127">
        <f t="shared" si="49"/>
        <v>3.6540210602642037E-3</v>
      </c>
      <c r="AN79" s="58">
        <f t="shared" si="5"/>
        <v>442.29214540027522</v>
      </c>
      <c r="AO79" s="58"/>
      <c r="AP79" s="119">
        <f t="shared" si="6"/>
        <v>2034214.3681629961</v>
      </c>
      <c r="AQ79" s="121"/>
      <c r="AR79" s="119">
        <v>-3133804.3317020014</v>
      </c>
      <c r="AS79" s="119">
        <v>20298.378188000992</v>
      </c>
      <c r="AT79" s="122">
        <v>14589640</v>
      </c>
      <c r="AU79" s="124"/>
      <c r="AV79" s="145">
        <f t="shared" si="41"/>
        <v>0.105877249318163</v>
      </c>
      <c r="AW79" s="119">
        <f t="shared" si="23"/>
        <v>6.9259040088752444E-4</v>
      </c>
      <c r="AX79" s="119">
        <v>6890.9978952936199</v>
      </c>
      <c r="AY79" s="124"/>
      <c r="AZ79" s="119">
        <v>10615180</v>
      </c>
      <c r="BA79" s="119">
        <f t="shared" si="45"/>
        <v>1.0472233374500894</v>
      </c>
      <c r="BB79" s="119">
        <f t="shared" si="46"/>
        <v>1.0421369450714824</v>
      </c>
      <c r="BD79" s="119">
        <f t="shared" si="31"/>
        <v>8.8043534085367088E-3</v>
      </c>
      <c r="BE79" s="119">
        <f t="shared" si="47"/>
        <v>2.4103775787517392E-2</v>
      </c>
      <c r="BF79" s="119" t="e">
        <f t="shared" si="32"/>
        <v>#DIV/0!</v>
      </c>
      <c r="BG79" s="119" t="e">
        <f t="shared" si="50"/>
        <v>#DIV/0!</v>
      </c>
      <c r="BH79" s="128" t="e">
        <f t="shared" si="51"/>
        <v>#DIV/0!</v>
      </c>
    </row>
    <row r="80" spans="1:60">
      <c r="A80" s="117">
        <v>2015</v>
      </c>
      <c r="C80" s="117">
        <v>2181.0851921102262</v>
      </c>
      <c r="D80" s="117">
        <v>570.7715838415462</v>
      </c>
      <c r="E80" s="117">
        <v>95.618231649911252</v>
      </c>
      <c r="F80" s="119"/>
      <c r="H80" s="124">
        <f t="shared" si="33"/>
        <v>-1</v>
      </c>
      <c r="M80" s="119"/>
      <c r="N80" s="119"/>
      <c r="O80" s="119"/>
      <c r="P80" s="119"/>
      <c r="Q80" s="124"/>
      <c r="R80" s="119"/>
      <c r="S80" s="119"/>
      <c r="T80" s="119"/>
      <c r="Y80" s="58">
        <f t="shared" si="39"/>
        <v>0</v>
      </c>
      <c r="Z80" s="58"/>
      <c r="AA80" s="121">
        <f t="shared" si="27"/>
        <v>0</v>
      </c>
      <c r="AB80" s="127" t="e">
        <f t="shared" si="48"/>
        <v>#DIV/0!</v>
      </c>
      <c r="AC80" s="226" t="e">
        <f t="shared" si="28"/>
        <v>#DIV/0!</v>
      </c>
      <c r="AE80" s="121"/>
      <c r="AF80" s="119" t="e">
        <f t="shared" si="43"/>
        <v>#DIV/0!</v>
      </c>
      <c r="AG80" s="124" t="e">
        <f t="shared" si="44"/>
        <v>#DIV/0!</v>
      </c>
      <c r="AH80" s="119"/>
      <c r="AI80" s="119"/>
      <c r="AJ80" s="126">
        <f t="shared" si="29"/>
        <v>0</v>
      </c>
      <c r="AK80" s="119"/>
      <c r="AL80" s="58" t="e">
        <f t="shared" si="30"/>
        <v>#DIV/0!</v>
      </c>
      <c r="AM80" s="129"/>
      <c r="AN80" s="58"/>
      <c r="AO80" s="119"/>
      <c r="AP80" s="119">
        <f t="shared" si="6"/>
        <v>0</v>
      </c>
      <c r="AQ80" s="121"/>
    </row>
    <row r="81" spans="1:43">
      <c r="A81" s="117">
        <v>2016</v>
      </c>
      <c r="C81" s="117">
        <v>2217.3876794434213</v>
      </c>
      <c r="D81" s="117">
        <v>568.42642991920445</v>
      </c>
      <c r="E81" s="117">
        <v>95.225360881026887</v>
      </c>
      <c r="H81" s="124" t="e">
        <f t="shared" si="33"/>
        <v>#DIV/0!</v>
      </c>
      <c r="M81" s="119"/>
      <c r="N81" s="119"/>
      <c r="O81" s="119"/>
      <c r="P81" s="119"/>
      <c r="Q81" s="124"/>
      <c r="R81" s="119"/>
      <c r="S81" s="119"/>
      <c r="Y81" s="58">
        <f t="shared" si="39"/>
        <v>0</v>
      </c>
      <c r="Z81" s="58"/>
      <c r="AA81" s="121">
        <f t="shared" si="27"/>
        <v>0</v>
      </c>
      <c r="AB81" s="127" t="e">
        <f t="shared" si="48"/>
        <v>#DIV/0!</v>
      </c>
      <c r="AC81" s="226" t="e">
        <f t="shared" si="28"/>
        <v>#DIV/0!</v>
      </c>
      <c r="AE81" s="121"/>
      <c r="AF81" s="119" t="e">
        <f t="shared" si="43"/>
        <v>#DIV/0!</v>
      </c>
      <c r="AG81" s="124" t="e">
        <f t="shared" si="44"/>
        <v>#DIV/0!</v>
      </c>
      <c r="AH81" s="119"/>
      <c r="AI81" s="119"/>
      <c r="AJ81" s="126">
        <f t="shared" si="29"/>
        <v>0</v>
      </c>
      <c r="AK81" s="119"/>
      <c r="AL81" s="58" t="e">
        <f t="shared" si="30"/>
        <v>#DIV/0!</v>
      </c>
      <c r="AM81" s="129"/>
      <c r="AN81" s="58"/>
      <c r="AO81" s="119"/>
      <c r="AP81" s="119">
        <f t="shared" si="6"/>
        <v>0</v>
      </c>
      <c r="AQ81" s="121"/>
    </row>
  </sheetData>
  <mergeCells count="7">
    <mergeCell ref="BN2:BN3"/>
    <mergeCell ref="BF2:BF3"/>
    <mergeCell ref="BI2:BI3"/>
    <mergeCell ref="BJ2:BJ3"/>
    <mergeCell ref="BK2:BK3"/>
    <mergeCell ref="BL2:BL3"/>
    <mergeCell ref="BM2:BM3"/>
  </mergeCells>
  <pageMargins left="0.7" right="0.7" top="0.75" bottom="0.75" header="0.3" footer="0.3"/>
  <pageSetup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BB90"/>
  <sheetViews>
    <sheetView zoomScale="85" zoomScaleNormal="85" zoomScalePageLayoutView="85" workbookViewId="0">
      <pane xSplit="1" topLeftCell="AL1" activePane="topRight" state="frozen"/>
      <selection pane="topRight" activeCell="AP24" sqref="AP24"/>
    </sheetView>
  </sheetViews>
  <sheetFormatPr defaultColWidth="11.44140625" defaultRowHeight="14.4"/>
  <cols>
    <col min="1" max="1" width="11.44140625" style="117"/>
    <col min="2" max="2" width="38.44140625" style="117" bestFit="1" customWidth="1"/>
    <col min="3" max="3" width="25.6640625" style="117" bestFit="1" customWidth="1"/>
    <col min="4" max="5" width="11.44140625" style="117"/>
    <col min="6" max="6" width="18.6640625" style="117" customWidth="1"/>
    <col min="7" max="7" width="35.33203125" style="117" customWidth="1"/>
    <col min="8" max="8" width="12.44140625" style="117" customWidth="1"/>
    <col min="9" max="9" width="11.44140625" style="117"/>
    <col min="10" max="10" width="23.6640625" style="117" customWidth="1"/>
    <col min="11" max="21" width="11.6640625" style="117" customWidth="1"/>
    <col min="26" max="41" width="11.6640625" style="117" customWidth="1"/>
    <col min="42" max="42" width="26.44140625" style="117" bestFit="1" customWidth="1"/>
    <col min="43" max="44" width="11.44140625" style="117" bestFit="1" customWidth="1"/>
    <col min="45" max="45" width="11.44140625" style="117"/>
    <col min="46" max="46" width="12.33203125" style="117" bestFit="1" customWidth="1"/>
    <col min="47" max="48" width="11.44140625" style="117"/>
    <col min="49" max="49" width="26.44140625" style="117" bestFit="1" customWidth="1"/>
    <col min="50" max="16384" width="11.44140625" style="117"/>
  </cols>
  <sheetData>
    <row r="1" spans="1:54">
      <c r="B1" s="118" t="s">
        <v>241</v>
      </c>
      <c r="F1" s="117" t="s">
        <v>157</v>
      </c>
    </row>
    <row r="2" spans="1:54" ht="27" customHeight="1">
      <c r="B2" s="118" t="s">
        <v>251</v>
      </c>
      <c r="C2" s="118" t="s">
        <v>263</v>
      </c>
      <c r="D2" s="118" t="s">
        <v>266</v>
      </c>
      <c r="E2" s="130"/>
      <c r="F2" s="118" t="s">
        <v>269</v>
      </c>
      <c r="G2" s="118" t="s">
        <v>284</v>
      </c>
      <c r="H2" s="118" t="s">
        <v>285</v>
      </c>
      <c r="I2" s="117" t="s">
        <v>407</v>
      </c>
      <c r="J2" s="118" t="s">
        <v>286</v>
      </c>
      <c r="K2" s="118"/>
      <c r="L2" s="130"/>
      <c r="M2" s="130"/>
      <c r="N2" s="130"/>
      <c r="O2" s="130"/>
      <c r="P2" s="130"/>
      <c r="Q2" s="130"/>
      <c r="R2" s="130"/>
      <c r="S2" s="130"/>
      <c r="T2" s="130"/>
      <c r="U2" s="130"/>
      <c r="Z2" s="130"/>
      <c r="AA2" s="130"/>
      <c r="AB2" s="130"/>
      <c r="AC2" s="130"/>
      <c r="AD2" s="130"/>
      <c r="AE2" s="130"/>
      <c r="AF2" s="130"/>
      <c r="AG2" s="130"/>
      <c r="AI2" s="130"/>
      <c r="AJ2" s="130"/>
      <c r="AK2" s="130"/>
      <c r="AL2" s="130"/>
      <c r="AM2" s="130"/>
      <c r="AN2" s="130"/>
      <c r="AR2" s="119"/>
      <c r="AS2" s="119"/>
      <c r="AT2" s="119"/>
    </row>
    <row r="3" spans="1:54">
      <c r="B3" s="118" t="s">
        <v>279</v>
      </c>
      <c r="C3" s="118" t="s">
        <v>287</v>
      </c>
      <c r="L3" s="124"/>
    </row>
    <row r="4" spans="1:54" s="119" customFormat="1">
      <c r="A4" s="117">
        <v>1962</v>
      </c>
      <c r="B4" s="280">
        <v>-3.2507398180374458E-3</v>
      </c>
      <c r="C4" s="145">
        <v>-4.1620856553350322E-3</v>
      </c>
      <c r="D4" s="281">
        <v>3.870596315010924E-3</v>
      </c>
      <c r="F4" s="124">
        <v>-5.7867712268598473E-3</v>
      </c>
      <c r="G4" s="124">
        <v>-1.5945934768813585E-3</v>
      </c>
      <c r="H4" s="124">
        <f>+B4+C4+D4-G4-F4-J4</f>
        <v>-1.2343898254377803E-2</v>
      </c>
      <c r="I4" s="146">
        <v>1.9999999999999796E-2</v>
      </c>
      <c r="J4" s="124">
        <v>1.6183033799757454E-2</v>
      </c>
      <c r="K4" s="124"/>
      <c r="L4" s="124"/>
      <c r="M4" s="124"/>
      <c r="N4" s="124"/>
      <c r="O4" s="124"/>
      <c r="P4" s="124"/>
      <c r="Q4" s="124"/>
      <c r="R4" s="124"/>
      <c r="S4" s="124"/>
      <c r="T4" s="124"/>
      <c r="U4" s="124"/>
      <c r="Z4" s="124"/>
      <c r="AA4" s="124"/>
      <c r="AB4" s="124"/>
      <c r="AC4" s="124"/>
      <c r="AD4" s="124"/>
      <c r="AE4" s="124"/>
      <c r="AF4" s="124"/>
      <c r="AG4" s="124"/>
      <c r="AI4" s="124"/>
      <c r="AJ4" s="124"/>
      <c r="AK4" s="124"/>
      <c r="AL4" s="124"/>
      <c r="AM4" s="124"/>
      <c r="AN4" s="124"/>
      <c r="BB4" s="117"/>
    </row>
    <row r="5" spans="1:54" s="119" customFormat="1">
      <c r="A5" s="117">
        <v>1963</v>
      </c>
      <c r="B5" s="280">
        <v>-4.2398145169607465E-3</v>
      </c>
      <c r="C5" s="145">
        <v>1.0408721237318772E-2</v>
      </c>
      <c r="D5" s="281">
        <v>4.2910526026393109E-3</v>
      </c>
      <c r="E5" s="124"/>
      <c r="F5" s="124">
        <v>-5.3077122064860323E-3</v>
      </c>
      <c r="G5" s="124">
        <v>1.2127925991200912E-2</v>
      </c>
      <c r="H5" s="124">
        <f t="shared" ref="H5:H55" si="0">+B5+C5+D5-G5-F5-J5</f>
        <v>-8.179549086062202E-3</v>
      </c>
      <c r="I5" s="146">
        <v>1.5686274509804088E-2</v>
      </c>
      <c r="J5" s="124">
        <v>1.1819294624344657E-2</v>
      </c>
      <c r="K5" s="124"/>
      <c r="L5" s="124"/>
      <c r="M5" s="124"/>
      <c r="N5" s="124"/>
      <c r="O5" s="124"/>
      <c r="P5" s="124"/>
      <c r="Q5" s="124"/>
      <c r="R5" s="124"/>
      <c r="S5" s="124"/>
      <c r="T5" s="124"/>
      <c r="U5" s="124"/>
      <c r="Z5" s="124"/>
      <c r="BB5" s="117"/>
    </row>
    <row r="6" spans="1:54" s="119" customFormat="1">
      <c r="A6" s="117">
        <v>1964</v>
      </c>
      <c r="B6" s="280">
        <v>3.3328193246151411E-3</v>
      </c>
      <c r="C6" s="145">
        <v>1.2258669631175181E-2</v>
      </c>
      <c r="D6" s="281">
        <v>7.1143177875160404E-3</v>
      </c>
      <c r="E6" s="124"/>
      <c r="F6" s="124">
        <v>-4.9304270676962083E-3</v>
      </c>
      <c r="G6" s="124">
        <v>1.2547991842453057E-2</v>
      </c>
      <c r="H6" s="124">
        <f t="shared" si="0"/>
        <v>5.689036224951205E-5</v>
      </c>
      <c r="I6" s="146">
        <v>5.044222772771989E-2</v>
      </c>
      <c r="J6" s="124">
        <v>1.5031351606300002E-2</v>
      </c>
      <c r="K6" s="124"/>
      <c r="L6" s="124"/>
      <c r="M6" s="124"/>
      <c r="N6" s="124"/>
      <c r="O6" s="124"/>
      <c r="P6" s="124"/>
      <c r="Q6" s="124"/>
      <c r="R6" s="124"/>
      <c r="S6" s="124"/>
      <c r="T6" s="124"/>
      <c r="U6" s="124"/>
      <c r="AW6" s="179"/>
      <c r="AX6" s="182" t="s">
        <v>288</v>
      </c>
      <c r="AY6" s="183" t="s">
        <v>289</v>
      </c>
      <c r="AZ6" s="183" t="s">
        <v>290</v>
      </c>
      <c r="BA6" s="183" t="s">
        <v>291</v>
      </c>
      <c r="BB6" s="117"/>
    </row>
    <row r="7" spans="1:54" s="119" customFormat="1">
      <c r="A7" s="117">
        <v>1965</v>
      </c>
      <c r="B7" s="280">
        <v>1.1634015183941568E-2</v>
      </c>
      <c r="C7" s="145">
        <v>5.6339370638831543E-3</v>
      </c>
      <c r="D7" s="281">
        <v>8.8493676752784949E-3</v>
      </c>
      <c r="E7" s="124"/>
      <c r="F7" s="124">
        <v>-5.3076431004534675E-3</v>
      </c>
      <c r="G7" s="124">
        <v>-5.8359809243213054E-3</v>
      </c>
      <c r="H7" s="124">
        <f t="shared" si="0"/>
        <v>2.0861026990934051E-2</v>
      </c>
      <c r="I7" s="146">
        <v>3.9215686274509665E-2</v>
      </c>
      <c r="J7" s="124">
        <v>1.6399916956943938E-2</v>
      </c>
      <c r="K7" s="124"/>
      <c r="L7" s="124"/>
      <c r="M7" s="124"/>
      <c r="N7" s="124"/>
      <c r="O7" s="124"/>
      <c r="P7" s="124"/>
      <c r="Q7" s="124"/>
      <c r="R7" s="124"/>
      <c r="S7" s="124"/>
      <c r="T7" s="124"/>
      <c r="U7" s="124"/>
      <c r="AW7" s="178" t="s">
        <v>405</v>
      </c>
      <c r="AX7" s="184">
        <v>1.3215708241384702E-2</v>
      </c>
      <c r="AY7" s="184">
        <v>6.7765932956877148E-3</v>
      </c>
      <c r="AZ7" s="184">
        <v>-1.0980124139191237E-2</v>
      </c>
      <c r="BA7" s="184">
        <v>-6.2633268088271932E-3</v>
      </c>
      <c r="BB7" s="117"/>
    </row>
    <row r="8" spans="1:54" s="119" customFormat="1">
      <c r="A8" s="117">
        <v>1966</v>
      </c>
      <c r="B8" s="280">
        <v>2.0660812411326945E-2</v>
      </c>
      <c r="C8" s="145">
        <v>-1.5464032586697263E-3</v>
      </c>
      <c r="D8" s="281">
        <v>3.2351657460736754E-3</v>
      </c>
      <c r="E8" s="124"/>
      <c r="F8" s="124">
        <v>-6.4128979349216235E-3</v>
      </c>
      <c r="G8" s="124">
        <v>1.7329133195915881E-2</v>
      </c>
      <c r="H8" s="124">
        <f t="shared" si="0"/>
        <v>2.4434945555859566E-3</v>
      </c>
      <c r="I8" s="146">
        <v>1.3207547169811429E-2</v>
      </c>
      <c r="J8" s="124">
        <v>8.9898450821506819E-3</v>
      </c>
      <c r="K8" s="124"/>
      <c r="L8" s="124"/>
      <c r="M8" s="124"/>
      <c r="N8" s="124"/>
      <c r="O8" s="124"/>
      <c r="P8" s="124"/>
      <c r="Q8" s="124"/>
      <c r="R8" s="124"/>
      <c r="S8" s="124"/>
      <c r="T8" s="124"/>
      <c r="U8" s="124"/>
      <c r="AW8" s="178" t="s">
        <v>404</v>
      </c>
      <c r="AX8" s="184">
        <v>4.5122344911136788E-3</v>
      </c>
      <c r="AY8" s="184">
        <v>-2.3358038647703448E-3</v>
      </c>
      <c r="AZ8" s="184">
        <v>-7.8441294219388656E-4</v>
      </c>
      <c r="BA8" s="184">
        <v>2.1896503070858138E-3</v>
      </c>
      <c r="BB8" s="117"/>
    </row>
    <row r="9" spans="1:54" s="119" customFormat="1">
      <c r="A9" s="117">
        <v>1967</v>
      </c>
      <c r="B9" s="280">
        <v>4.3893401200626125E-2</v>
      </c>
      <c r="C9" s="145">
        <v>3.1272115559478342E-3</v>
      </c>
      <c r="D9" s="281">
        <v>8.7670254488262708E-3</v>
      </c>
      <c r="E9" s="124"/>
      <c r="F9" s="124">
        <v>-7.1645826302667017E-3</v>
      </c>
      <c r="G9" s="124">
        <v>4.6538319559597169E-2</v>
      </c>
      <c r="H9" s="124">
        <f t="shared" si="0"/>
        <v>4.5385250563327456E-3</v>
      </c>
      <c r="I9" s="146">
        <v>5.5865921787707773E-3</v>
      </c>
      <c r="J9" s="124">
        <v>1.187537621973702E-2</v>
      </c>
      <c r="K9" s="124"/>
      <c r="L9" s="124"/>
      <c r="M9" s="124"/>
      <c r="N9" s="124"/>
      <c r="O9" s="124"/>
      <c r="P9" s="124"/>
      <c r="Q9" s="124"/>
      <c r="R9" s="124"/>
      <c r="S9" s="124"/>
      <c r="T9" s="124"/>
      <c r="U9" s="124"/>
      <c r="AW9" s="179" t="s">
        <v>401</v>
      </c>
      <c r="AX9" s="185">
        <v>9.109908517944125E-3</v>
      </c>
      <c r="AY9" s="185">
        <v>2.5192620409144842E-2</v>
      </c>
      <c r="AZ9" s="185">
        <v>1.1304266797062146E-2</v>
      </c>
      <c r="BA9" s="185">
        <v>9.7582820464023889E-3</v>
      </c>
      <c r="BB9" s="117"/>
    </row>
    <row r="10" spans="1:54" s="119" customFormat="1" ht="15" thickBot="1">
      <c r="A10" s="117">
        <v>1968</v>
      </c>
      <c r="B10" s="280">
        <v>3.1531179727712466E-2</v>
      </c>
      <c r="C10" s="145">
        <v>6.0283559832402384E-3</v>
      </c>
      <c r="D10" s="281">
        <v>6.9501727944649636E-3</v>
      </c>
      <c r="E10" s="124"/>
      <c r="F10" s="124">
        <v>-1.0240663567365976E-2</v>
      </c>
      <c r="G10" s="124">
        <v>4.975797306665438E-2</v>
      </c>
      <c r="H10" s="124">
        <f t="shared" si="0"/>
        <v>-1.1553550645929249E-2</v>
      </c>
      <c r="I10" s="146">
        <v>2.6851851851851904E-2</v>
      </c>
      <c r="J10" s="124">
        <v>1.6545949652058512E-2</v>
      </c>
      <c r="K10" s="124"/>
      <c r="L10" s="124"/>
      <c r="M10" s="124"/>
      <c r="N10" s="124"/>
      <c r="O10" s="124"/>
      <c r="P10" s="124"/>
      <c r="Q10" s="124"/>
      <c r="R10" s="124"/>
      <c r="S10" s="124"/>
      <c r="T10" s="124"/>
      <c r="U10" s="124"/>
      <c r="AP10" s="131"/>
      <c r="AQ10" s="132" t="s">
        <v>288</v>
      </c>
      <c r="AR10" s="131" t="s">
        <v>289</v>
      </c>
      <c r="AS10" s="131" t="s">
        <v>290</v>
      </c>
      <c r="AT10" s="131" t="s">
        <v>291</v>
      </c>
      <c r="AW10" s="187" t="s">
        <v>233</v>
      </c>
      <c r="AX10" s="188">
        <f>SUM(AX7:AX9)</f>
        <v>2.6837851250442506E-2</v>
      </c>
      <c r="AY10" s="188">
        <f>SUM(AY7:AY9)</f>
        <v>2.9633409840062214E-2</v>
      </c>
      <c r="AZ10" s="188">
        <f>SUM(AZ7:AZ9)</f>
        <v>-4.6027028432297883E-4</v>
      </c>
      <c r="BA10" s="188">
        <f>SUM(BA7:BA9)</f>
        <v>5.6846055446610096E-3</v>
      </c>
      <c r="BB10" s="117"/>
    </row>
    <row r="11" spans="1:54" s="119" customFormat="1">
      <c r="A11" s="117">
        <v>1969</v>
      </c>
      <c r="B11" s="280">
        <v>3.1789324234595406E-2</v>
      </c>
      <c r="C11" s="145">
        <v>-3.8711649803380571E-3</v>
      </c>
      <c r="D11" s="281">
        <v>4.5587874943887382E-3</v>
      </c>
      <c r="E11" s="124"/>
      <c r="F11" s="124">
        <v>-1.225191498605528E-2</v>
      </c>
      <c r="G11" s="124">
        <v>1.223453726096964E-2</v>
      </c>
      <c r="H11" s="124">
        <f t="shared" si="0"/>
        <v>1.7425348012304956E-2</v>
      </c>
      <c r="I11" s="146">
        <v>-2.7051397655546428E-3</v>
      </c>
      <c r="J11" s="124">
        <v>1.5068976461426775E-2</v>
      </c>
      <c r="K11" s="124"/>
      <c r="L11" s="124"/>
      <c r="M11" s="124"/>
      <c r="N11" s="124"/>
      <c r="O11" s="124"/>
      <c r="P11" s="124"/>
      <c r="Q11" s="124"/>
      <c r="R11" s="124"/>
      <c r="S11" s="124"/>
      <c r="T11" s="124"/>
      <c r="U11" s="124"/>
      <c r="AP11" s="131" t="s">
        <v>405</v>
      </c>
      <c r="AQ11" s="133">
        <f>+AVERAGE(B4:B15)</f>
        <v>9.953854724589796E-3</v>
      </c>
      <c r="AR11" s="133">
        <f>+AVERAGE(B16:B31)</f>
        <v>2.1288654198565481E-2</v>
      </c>
      <c r="AS11" s="133">
        <f>+AVERAGE(B32:B45)</f>
        <v>-1.1852575299049845E-2</v>
      </c>
      <c r="AT11" s="133">
        <f>+AVERAGE(B46:B56)</f>
        <v>-2.5735614118201858E-2</v>
      </c>
      <c r="AW11" s="178"/>
      <c r="AX11" s="184"/>
      <c r="AY11" s="184"/>
      <c r="AZ11" s="184"/>
      <c r="BA11" s="184"/>
      <c r="BB11" s="117"/>
    </row>
    <row r="12" spans="1:54" s="119" customFormat="1">
      <c r="A12" s="117">
        <v>1970</v>
      </c>
      <c r="B12" s="280">
        <v>2.7907820631068614E-2</v>
      </c>
      <c r="C12" s="145">
        <v>1.4818975768688347E-2</v>
      </c>
      <c r="D12" s="281">
        <v>7.6404901472605048E-3</v>
      </c>
      <c r="E12" s="124"/>
      <c r="F12" s="124">
        <v>-1.2826390803952958E-2</v>
      </c>
      <c r="G12" s="124">
        <v>6.5575309999832939E-3</v>
      </c>
      <c r="H12" s="124">
        <f t="shared" si="0"/>
        <v>4.1450374202656383E-2</v>
      </c>
      <c r="I12" s="146">
        <v>2.2603978300180794E-2</v>
      </c>
      <c r="J12" s="124">
        <v>1.5185772148330744E-2</v>
      </c>
      <c r="K12" s="124"/>
      <c r="L12" s="124"/>
      <c r="M12" s="124"/>
      <c r="N12" s="124"/>
      <c r="O12" s="124"/>
      <c r="P12" s="124"/>
      <c r="Q12" s="124"/>
      <c r="R12" s="124"/>
      <c r="S12" s="124"/>
      <c r="T12" s="124"/>
      <c r="U12" s="124"/>
      <c r="AP12" s="131" t="s">
        <v>404</v>
      </c>
      <c r="AQ12" s="133">
        <f>+AVERAGE(C4:C15)</f>
        <v>4.5122344911136788E-3</v>
      </c>
      <c r="AR12" s="133">
        <f>+AVERAGE(C16:C31)</f>
        <v>-2.3358038647703452E-3</v>
      </c>
      <c r="AS12" s="133">
        <f>+AVERAGE(C32:C45)</f>
        <v>-7.8441294219388656E-4</v>
      </c>
      <c r="AT12" s="133">
        <f>+AVERAGE(C46:C56)</f>
        <v>2.1896503070858138E-3</v>
      </c>
      <c r="AW12" s="178" t="s">
        <v>269</v>
      </c>
      <c r="AX12" s="184">
        <v>-9.0100175218745613E-3</v>
      </c>
      <c r="AY12" s="184">
        <v>-1.2722042325124739E-2</v>
      </c>
      <c r="AZ12" s="184">
        <v>-1.2952181015265364E-2</v>
      </c>
      <c r="BA12" s="184">
        <v>-8.4038747237869284E-3</v>
      </c>
      <c r="BB12" s="117"/>
    </row>
    <row r="13" spans="1:54" s="119" customFormat="1">
      <c r="A13" s="117">
        <v>1971</v>
      </c>
      <c r="B13" s="280">
        <v>1.3342664871368592E-3</v>
      </c>
      <c r="C13" s="145">
        <v>3.9535807323587413E-4</v>
      </c>
      <c r="D13" s="281">
        <v>1.2871769898893996E-2</v>
      </c>
      <c r="E13" s="124"/>
      <c r="F13" s="124">
        <v>-1.3130851891202911E-2</v>
      </c>
      <c r="G13" s="124">
        <v>1.6800159390905029E-2</v>
      </c>
      <c r="H13" s="124">
        <f t="shared" si="0"/>
        <v>-3.1638085796771992E-3</v>
      </c>
      <c r="I13" s="146">
        <v>6.2776304155614637E-2</v>
      </c>
      <c r="J13" s="124">
        <v>1.409589553924181E-2</v>
      </c>
      <c r="K13" s="124"/>
      <c r="L13" s="124"/>
      <c r="M13" s="124"/>
      <c r="N13" s="124"/>
      <c r="O13" s="124"/>
      <c r="P13" s="124"/>
      <c r="Q13" s="124"/>
      <c r="R13" s="124"/>
      <c r="S13" s="124"/>
      <c r="T13" s="124"/>
      <c r="U13" s="124"/>
      <c r="AP13" s="131" t="s">
        <v>401</v>
      </c>
      <c r="AQ13" s="133">
        <f>+AVERAGE(D4:D15)</f>
        <v>9.109908517944125E-3</v>
      </c>
      <c r="AR13" s="133">
        <f>+AVERAGE(D16:D31)</f>
        <v>2.5192620409144842E-2</v>
      </c>
      <c r="AS13" s="133">
        <f>+AVERAGE(D32:D45)</f>
        <v>1.1304266797062146E-2</v>
      </c>
      <c r="AT13" s="133">
        <f>+AVERAGE(D46:D56)</f>
        <v>9.7582820464023889E-3</v>
      </c>
      <c r="AW13" s="178" t="s">
        <v>402</v>
      </c>
      <c r="AX13" s="184">
        <v>1.6939823321457336E-2</v>
      </c>
      <c r="AY13" s="184">
        <v>1.8412044492443977E-2</v>
      </c>
      <c r="AZ13" s="184">
        <v>-6.4813633409151541E-3</v>
      </c>
      <c r="BA13" s="184">
        <v>-7.1138497045627157E-3</v>
      </c>
      <c r="BB13" s="117"/>
    </row>
    <row r="14" spans="1:54" s="119" customFormat="1">
      <c r="A14" s="117">
        <v>1972</v>
      </c>
      <c r="B14" s="280">
        <v>-1.6007520537650838E-2</v>
      </c>
      <c r="C14" s="145">
        <v>1.2211151225587316E-2</v>
      </c>
      <c r="D14" s="281">
        <v>1.7080909762012476E-2</v>
      </c>
      <c r="E14" s="124"/>
      <c r="F14" s="124">
        <v>-1.2824401736375335E-2</v>
      </c>
      <c r="G14" s="124">
        <v>2.6748188086502613E-2</v>
      </c>
      <c r="H14" s="124">
        <f t="shared" si="0"/>
        <v>-1.7734448635793792E-2</v>
      </c>
      <c r="I14" s="146">
        <v>9.4841930116472462E-2</v>
      </c>
      <c r="J14" s="124">
        <v>1.7095202735615468E-2</v>
      </c>
      <c r="K14" s="124"/>
      <c r="L14" s="124"/>
      <c r="M14" s="124"/>
      <c r="N14" s="124"/>
      <c r="O14" s="124"/>
      <c r="P14" s="124"/>
      <c r="Q14" s="124"/>
      <c r="R14" s="124"/>
      <c r="S14" s="124"/>
      <c r="T14" s="124"/>
      <c r="U14" s="124"/>
      <c r="AP14" s="131"/>
      <c r="AQ14" s="133"/>
      <c r="AR14" s="133"/>
      <c r="AS14" s="133"/>
      <c r="AT14" s="133"/>
      <c r="AW14" s="286" t="s">
        <v>292</v>
      </c>
      <c r="AX14" s="287">
        <v>1.4504992223754247E-2</v>
      </c>
      <c r="AY14" s="287">
        <v>1.9252438245653123E-2</v>
      </c>
      <c r="AZ14" s="287">
        <v>1.8385680651652747E-2</v>
      </c>
      <c r="BA14" s="287">
        <v>1.4628456098353065E-2</v>
      </c>
      <c r="BB14" s="117"/>
    </row>
    <row r="15" spans="1:54" s="119" customFormat="1">
      <c r="A15" s="117">
        <v>1973</v>
      </c>
      <c r="B15" s="280">
        <v>-2.913930763329653E-2</v>
      </c>
      <c r="C15" s="145">
        <v>-1.1559127513697531E-3</v>
      </c>
      <c r="D15" s="281">
        <v>2.4089246542964109E-2</v>
      </c>
      <c r="E15" s="124"/>
      <c r="F15" s="124">
        <v>-1.1935953110858386E-2</v>
      </c>
      <c r="G15" s="124">
        <v>1.0066694864508683E-2</v>
      </c>
      <c r="H15" s="124">
        <f t="shared" si="0"/>
        <v>-2.0106007454496394E-2</v>
      </c>
      <c r="I15" s="146">
        <v>0.14133738601823698</v>
      </c>
      <c r="J15" s="124">
        <v>1.5769291859143924E-2</v>
      </c>
      <c r="K15" s="124"/>
      <c r="L15" s="124"/>
      <c r="M15" s="124"/>
      <c r="N15" s="124"/>
      <c r="O15" s="124"/>
      <c r="P15" s="124"/>
      <c r="Q15" s="124"/>
      <c r="R15" s="124"/>
      <c r="S15" s="124"/>
      <c r="T15" s="124"/>
      <c r="U15" s="124"/>
      <c r="AP15" s="131" t="s">
        <v>269</v>
      </c>
      <c r="AQ15" s="133">
        <f>+AVERAGE(F4:F15)</f>
        <v>-9.0100175218745613E-3</v>
      </c>
      <c r="AR15" s="133">
        <f>+AVERAGE(F16:F31)</f>
        <v>-1.2722042325124739E-2</v>
      </c>
      <c r="AS15" s="133">
        <f>+AVERAGE(F32:F45)</f>
        <v>-1.2952181015265364E-2</v>
      </c>
      <c r="AT15" s="133">
        <f>+AVERAGE(F46:F55)</f>
        <v>-8.4038747237869284E-3</v>
      </c>
      <c r="AW15" s="179" t="s">
        <v>403</v>
      </c>
      <c r="AX15" s="185">
        <v>4.2354905531185134E-3</v>
      </c>
      <c r="AY15" s="185">
        <v>4.4685792779485378E-3</v>
      </c>
      <c r="AZ15" s="185">
        <v>1.4589829212998385E-4</v>
      </c>
      <c r="BA15" s="185">
        <v>4.9148988958025962E-3</v>
      </c>
      <c r="BB15" s="117"/>
    </row>
    <row r="16" spans="1:54" s="119" customFormat="1" ht="15" thickBot="1">
      <c r="A16" s="117">
        <v>1974</v>
      </c>
      <c r="B16" s="280">
        <v>-2.6689183398133864E-2</v>
      </c>
      <c r="C16" s="145">
        <v>-1.583034140684722E-2</v>
      </c>
      <c r="D16" s="281">
        <v>3.1694959776108568E-2</v>
      </c>
      <c r="E16" s="124"/>
      <c r="F16" s="124">
        <v>-1.1126416839702368E-2</v>
      </c>
      <c r="G16" s="124">
        <v>5.7354628901372289E-3</v>
      </c>
      <c r="H16" s="124">
        <f t="shared" si="0"/>
        <v>-2.1024366866036107E-2</v>
      </c>
      <c r="I16" s="146">
        <v>0.2197070572569908</v>
      </c>
      <c r="J16" s="124">
        <v>1.559075578672873E-2</v>
      </c>
      <c r="K16" s="124"/>
      <c r="L16" s="124"/>
      <c r="M16" s="124"/>
      <c r="N16" s="124"/>
      <c r="O16" s="124"/>
      <c r="P16" s="124"/>
      <c r="Q16" s="124"/>
      <c r="R16" s="124"/>
      <c r="S16" s="124"/>
      <c r="T16" s="124"/>
      <c r="U16" s="124"/>
      <c r="AP16" s="131" t="s">
        <v>402</v>
      </c>
      <c r="AQ16" s="133">
        <f>+AVERAGE(G4:G15)</f>
        <v>1.6939823321457336E-2</v>
      </c>
      <c r="AR16" s="133">
        <f>+AVERAGE(G16:G31)</f>
        <v>1.8412044492443977E-2</v>
      </c>
      <c r="AS16" s="133">
        <f>+AVERAGE(G32:G45)</f>
        <v>-6.4813633409151541E-3</v>
      </c>
      <c r="AT16" s="133">
        <f>+AVERAGE(G46:G56)</f>
        <v>-7.1138497045627157E-3</v>
      </c>
      <c r="AW16" s="187" t="s">
        <v>233</v>
      </c>
      <c r="AX16" s="188">
        <f>SUM(AX12:AX15)</f>
        <v>2.6670288576455536E-2</v>
      </c>
      <c r="AY16" s="188">
        <f>SUM(AY12:AY15)</f>
        <v>2.94110196909209E-2</v>
      </c>
      <c r="AZ16" s="188">
        <f>SUM(AZ12:AZ15)</f>
        <v>-9.0196541239778868E-4</v>
      </c>
      <c r="BA16" s="188">
        <f>SUM(BA12:BA15)</f>
        <v>4.0256305658060171E-3</v>
      </c>
      <c r="BB16" s="117"/>
    </row>
    <row r="17" spans="1:54" s="119" customFormat="1">
      <c r="A17" s="117">
        <v>1975</v>
      </c>
      <c r="B17" s="280">
        <v>3.619896470587719E-3</v>
      </c>
      <c r="C17" s="145">
        <v>9.2330296668436396E-3</v>
      </c>
      <c r="D17" s="281">
        <v>1.5874746496011925E-2</v>
      </c>
      <c r="E17" s="124"/>
      <c r="F17" s="124">
        <v>-1.1046355393656265E-2</v>
      </c>
      <c r="G17" s="124">
        <v>5.1536322162330263E-2</v>
      </c>
      <c r="H17" s="124">
        <f t="shared" si="0"/>
        <v>-2.7278325276152881E-2</v>
      </c>
      <c r="I17" s="146">
        <v>8.6790393013100431E-2</v>
      </c>
      <c r="J17" s="124">
        <v>1.5516031140922166E-2</v>
      </c>
      <c r="K17" s="124"/>
      <c r="L17" s="124"/>
      <c r="M17" s="124"/>
      <c r="N17" s="124"/>
      <c r="O17" s="124"/>
      <c r="P17" s="124"/>
      <c r="Q17" s="124"/>
      <c r="R17" s="124"/>
      <c r="S17" s="124"/>
      <c r="T17" s="124"/>
      <c r="U17" s="124"/>
      <c r="AP17" s="131" t="s">
        <v>292</v>
      </c>
      <c r="AQ17" s="133">
        <f>+AVERAGE(J4:J15)</f>
        <v>1.4504992223754247E-2</v>
      </c>
      <c r="AR17" s="133">
        <f>+AVERAGE(J16:J31)</f>
        <v>1.9252438245653123E-2</v>
      </c>
      <c r="AS17" s="133">
        <f>+AVERAGE(J32:J45)</f>
        <v>1.8385680651652747E-2</v>
      </c>
      <c r="AT17" s="133">
        <f>+AVERAGE(J46:J56)</f>
        <v>1.4628456098353065E-2</v>
      </c>
      <c r="AW17" s="180" t="s">
        <v>406</v>
      </c>
      <c r="AX17" s="186"/>
      <c r="AY17" s="186"/>
      <c r="AZ17" s="186"/>
      <c r="BA17" s="186"/>
      <c r="BB17" s="117"/>
    </row>
    <row r="18" spans="1:54" s="119" customFormat="1">
      <c r="A18" s="117">
        <v>1976</v>
      </c>
      <c r="B18" s="280">
        <v>6.0875459663085552E-2</v>
      </c>
      <c r="C18" s="145">
        <v>6.2422654587475368E-3</v>
      </c>
      <c r="D18" s="281">
        <v>1.2388097985459453E-2</v>
      </c>
      <c r="E18" s="124"/>
      <c r="F18" s="124">
        <v>-1.1039977120037972E-2</v>
      </c>
      <c r="G18" s="124">
        <v>2.7010973887993103E-2</v>
      </c>
      <c r="H18" s="124">
        <f t="shared" si="0"/>
        <v>5.0916181608030922E-2</v>
      </c>
      <c r="I18" s="146">
        <v>3.3651431441486634E-2</v>
      </c>
      <c r="J18" s="124">
        <v>1.2618644731306488E-2</v>
      </c>
      <c r="K18" s="124"/>
      <c r="L18" s="124"/>
      <c r="M18" s="124"/>
      <c r="N18" s="124"/>
      <c r="O18" s="124"/>
      <c r="P18" s="124"/>
      <c r="Q18" s="124"/>
      <c r="R18" s="124"/>
      <c r="S18" s="124"/>
      <c r="T18" s="124"/>
      <c r="U18" s="124"/>
      <c r="AP18" s="131" t="s">
        <v>403</v>
      </c>
      <c r="AQ18" s="133">
        <f>+AVERAGE(H4:H15)</f>
        <v>1.1411997103105808E-3</v>
      </c>
      <c r="AR18" s="133">
        <f>+AVERAGE(H16:H31)</f>
        <v>1.9203030329967608E-2</v>
      </c>
      <c r="AS18" s="133">
        <f>+AVERAGE(H32:H45)</f>
        <v>-2.8485773965381537E-4</v>
      </c>
      <c r="AT18" s="133">
        <f>+AVERAGE(H46:H56)</f>
        <v>-1.2525922759103936E-2</v>
      </c>
      <c r="AW18" s="181"/>
      <c r="AX18" s="186"/>
      <c r="AY18" s="186"/>
      <c r="AZ18" s="186"/>
      <c r="BA18" s="186"/>
      <c r="BB18" s="117"/>
    </row>
    <row r="19" spans="1:54" s="119" customFormat="1">
      <c r="A19" s="117">
        <v>1977</v>
      </c>
      <c r="B19" s="280">
        <v>-1.9181208895588553E-2</v>
      </c>
      <c r="C19" s="145">
        <v>8.1595063159942971E-3</v>
      </c>
      <c r="D19" s="281">
        <v>2.3361293333512764E-2</v>
      </c>
      <c r="E19" s="124"/>
      <c r="F19" s="124">
        <v>-1.257427538409127E-2</v>
      </c>
      <c r="G19" s="124">
        <v>9.660644420555883E-3</v>
      </c>
      <c r="H19" s="124">
        <f t="shared" si="0"/>
        <v>5.8445509574407868E-4</v>
      </c>
      <c r="I19" s="146">
        <v>9.3780369290573207E-2</v>
      </c>
      <c r="J19" s="124">
        <v>1.4668766621709817E-2</v>
      </c>
      <c r="K19" s="124"/>
      <c r="L19" s="124"/>
      <c r="M19" s="124"/>
      <c r="N19" s="124"/>
      <c r="O19" s="124"/>
      <c r="P19" s="124"/>
      <c r="Q19" s="124"/>
      <c r="R19" s="124"/>
      <c r="S19" s="124"/>
      <c r="T19" s="124"/>
      <c r="U19" s="124"/>
      <c r="AW19" s="179"/>
      <c r="AX19" s="182" t="s">
        <v>288</v>
      </c>
      <c r="AY19" s="183" t="s">
        <v>289</v>
      </c>
      <c r="AZ19" s="183" t="s">
        <v>290</v>
      </c>
      <c r="BA19" s="183" t="s">
        <v>291</v>
      </c>
      <c r="BB19" s="117"/>
    </row>
    <row r="20" spans="1:54" s="119" customFormat="1">
      <c r="A20" s="117">
        <v>1978</v>
      </c>
      <c r="B20" s="280">
        <v>-1.3675393291406601E-3</v>
      </c>
      <c r="C20" s="145">
        <v>1.1762029541630692E-2</v>
      </c>
      <c r="D20" s="281">
        <v>3.2556980949628236E-2</v>
      </c>
      <c r="E20" s="124"/>
      <c r="F20" s="124">
        <v>-9.7156880403790925E-3</v>
      </c>
      <c r="G20" s="124">
        <v>1.4848140573661369E-2</v>
      </c>
      <c r="H20" s="124">
        <f t="shared" si="0"/>
        <v>2.1056933304563073E-2</v>
      </c>
      <c r="I20" s="146">
        <v>0.16836961350510871</v>
      </c>
      <c r="J20" s="124">
        <v>1.6762085324272921E-2</v>
      </c>
      <c r="K20" s="124"/>
      <c r="L20" s="124"/>
      <c r="M20" s="124"/>
      <c r="N20" s="124"/>
      <c r="O20" s="124"/>
      <c r="P20" s="124"/>
      <c r="Q20" s="124"/>
      <c r="R20" s="124"/>
      <c r="S20" s="124"/>
      <c r="T20" s="124"/>
      <c r="U20" s="124"/>
      <c r="AW20" s="178" t="s">
        <v>405</v>
      </c>
      <c r="AX20" s="184">
        <v>1.3215708241384702E-2</v>
      </c>
      <c r="AY20" s="184">
        <v>6.7765932956877148E-3</v>
      </c>
      <c r="AZ20" s="184">
        <v>-1.0980124139191237E-2</v>
      </c>
      <c r="BA20" s="184">
        <v>-6.2633268088271932E-3</v>
      </c>
      <c r="BB20" s="117"/>
    </row>
    <row r="21" spans="1:54" s="119" customFormat="1">
      <c r="A21" s="117">
        <v>1979</v>
      </c>
      <c r="B21" s="280">
        <v>-7.507655230655233E-2</v>
      </c>
      <c r="C21" s="145">
        <v>-1.6429730334179521E-2</v>
      </c>
      <c r="D21" s="281">
        <v>5.1088066754650122E-2</v>
      </c>
      <c r="E21" s="124"/>
      <c r="F21" s="124">
        <v>-1.0185659233591922E-2</v>
      </c>
      <c r="G21" s="124">
        <v>-1.6197041106123272E-2</v>
      </c>
      <c r="H21" s="124">
        <f t="shared" si="0"/>
        <v>-3.0355397020829789E-2</v>
      </c>
      <c r="I21" s="146">
        <v>0.35703422053231959</v>
      </c>
      <c r="J21" s="124">
        <v>1.6319881474463251E-2</v>
      </c>
      <c r="K21" s="124"/>
      <c r="L21" s="124"/>
      <c r="M21" s="124"/>
      <c r="N21" s="124"/>
      <c r="O21" s="124"/>
      <c r="P21" s="124"/>
      <c r="Q21" s="124"/>
      <c r="R21" s="124"/>
      <c r="S21" s="124"/>
      <c r="T21" s="124"/>
      <c r="U21" s="124"/>
      <c r="AW21" s="178" t="s">
        <v>404</v>
      </c>
      <c r="AX21" s="184">
        <v>4.5122344911136788E-3</v>
      </c>
      <c r="AY21" s="184">
        <v>-2.3358038647703448E-3</v>
      </c>
      <c r="AZ21" s="184">
        <v>-7.8441294219388656E-4</v>
      </c>
      <c r="BA21" s="184">
        <v>2.1896503070858138E-3</v>
      </c>
      <c r="BB21" s="117"/>
    </row>
    <row r="22" spans="1:54" s="119" customFormat="1">
      <c r="A22" s="117">
        <v>1980</v>
      </c>
      <c r="B22" s="280">
        <v>-9.8177818565296504E-3</v>
      </c>
      <c r="C22" s="145">
        <v>-4.3775656447219424E-3</v>
      </c>
      <c r="D22" s="281">
        <v>2.9551219734806088E-2</v>
      </c>
      <c r="E22" s="124"/>
      <c r="F22" s="124">
        <v>-8.2952491819687276E-3</v>
      </c>
      <c r="G22" s="124">
        <v>-4.0330144684853214E-3</v>
      </c>
      <c r="H22" s="124">
        <f t="shared" si="0"/>
        <v>1.2342543417371073E-2</v>
      </c>
      <c r="I22" s="146">
        <v>0.15017255226305104</v>
      </c>
      <c r="J22" s="124">
        <v>1.5341592466637473E-2</v>
      </c>
      <c r="K22" s="124"/>
      <c r="L22" s="124"/>
      <c r="M22" s="124"/>
      <c r="N22" s="124"/>
      <c r="O22" s="124"/>
      <c r="P22" s="124"/>
      <c r="Q22" s="124"/>
      <c r="R22" s="124"/>
      <c r="S22" s="124"/>
      <c r="T22" s="124"/>
      <c r="U22" s="124"/>
      <c r="AW22" s="179" t="s">
        <v>401</v>
      </c>
      <c r="AX22" s="185">
        <v>9.109908517944125E-3</v>
      </c>
      <c r="AY22" s="185">
        <v>2.5192620409144842E-2</v>
      </c>
      <c r="AZ22" s="185">
        <v>1.1304266797062146E-2</v>
      </c>
      <c r="BA22" s="185">
        <v>9.7582820464023889E-3</v>
      </c>
      <c r="BB22" s="117"/>
    </row>
    <row r="23" spans="1:54" s="119" customFormat="1" ht="15" thickBot="1">
      <c r="A23" s="117">
        <v>1981</v>
      </c>
      <c r="B23" s="280">
        <v>-1.8011027973340643E-2</v>
      </c>
      <c r="C23" s="145">
        <v>-9.1012260023319996E-3</v>
      </c>
      <c r="D23" s="281">
        <v>1.9694011254774515E-2</v>
      </c>
      <c r="E23" s="124"/>
      <c r="F23" s="124">
        <v>-7.6690104785918879E-3</v>
      </c>
      <c r="G23" s="124">
        <v>2.8817987670056652E-2</v>
      </c>
      <c r="H23" s="124">
        <f t="shared" si="0"/>
        <v>-4.2963223419831997E-2</v>
      </c>
      <c r="I23" s="146">
        <v>8.1180811808118092E-2</v>
      </c>
      <c r="J23" s="124">
        <v>1.4396003507469111E-2</v>
      </c>
      <c r="K23" s="124"/>
      <c r="L23" s="124"/>
      <c r="M23" s="124"/>
      <c r="N23" s="124"/>
      <c r="O23" s="124"/>
      <c r="P23" s="124"/>
      <c r="Q23" s="124"/>
      <c r="R23" s="124"/>
      <c r="S23" s="124"/>
      <c r="T23" s="124"/>
      <c r="U23" s="124"/>
      <c r="AW23" s="187" t="s">
        <v>233</v>
      </c>
      <c r="AX23" s="188">
        <f>SUM(AX20:AX22)</f>
        <v>2.6837851250442506E-2</v>
      </c>
      <c r="AY23" s="188">
        <f>SUM(AY20:AY22)</f>
        <v>2.9633409840062214E-2</v>
      </c>
      <c r="AZ23" s="188">
        <f>SUM(AZ20:AZ22)</f>
        <v>-4.6027028432297883E-4</v>
      </c>
      <c r="BA23" s="188">
        <f>SUM(BA20:BA22)</f>
        <v>5.6846055446610096E-3</v>
      </c>
      <c r="BB23" s="117"/>
    </row>
    <row r="24" spans="1:54" s="119" customFormat="1">
      <c r="A24" s="117">
        <v>1982</v>
      </c>
      <c r="B24" s="280">
        <v>2.8978886617607502E-2</v>
      </c>
      <c r="C24" s="145">
        <v>-7.9667982739301535E-3</v>
      </c>
      <c r="D24" s="281">
        <v>8.2048398921169309E-3</v>
      </c>
      <c r="E24" s="124"/>
      <c r="F24" s="124">
        <v>-6.7119621317177592E-3</v>
      </c>
      <c r="G24" s="124">
        <v>1.0027406966066769E-2</v>
      </c>
      <c r="H24" s="124">
        <f t="shared" si="0"/>
        <v>1.1871007786794879E-2</v>
      </c>
      <c r="I24" s="146">
        <v>8.8737201365187701E-2</v>
      </c>
      <c r="J24" s="124">
        <v>1.4030475614650394E-2</v>
      </c>
      <c r="K24" s="124"/>
      <c r="L24" s="124"/>
      <c r="M24" s="124"/>
      <c r="N24" s="124"/>
      <c r="O24" s="124"/>
      <c r="P24" s="124"/>
      <c r="Q24" s="124"/>
      <c r="R24" s="124"/>
      <c r="S24" s="124"/>
      <c r="T24" s="124"/>
      <c r="U24" s="124"/>
      <c r="AW24" s="178"/>
      <c r="AX24" s="184"/>
      <c r="AY24" s="184"/>
      <c r="AZ24" s="184"/>
      <c r="BA24" s="184"/>
      <c r="BB24" s="117"/>
    </row>
    <row r="25" spans="1:54" s="119" customFormat="1">
      <c r="A25" s="117">
        <v>1983</v>
      </c>
      <c r="B25" s="280">
        <v>2.4257990111203359E-2</v>
      </c>
      <c r="C25" s="145">
        <v>1.54841810136264E-2</v>
      </c>
      <c r="D25" s="281">
        <v>1.07503125681504E-2</v>
      </c>
      <c r="E25" s="124"/>
      <c r="F25" s="124">
        <v>-1.2755666452414487E-2</v>
      </c>
      <c r="G25" s="124">
        <v>4.9542549409997978E-2</v>
      </c>
      <c r="H25" s="124">
        <f t="shared" si="0"/>
        <v>-2.7408923117487431E-4</v>
      </c>
      <c r="I25" s="146">
        <v>0.14106583072100309</v>
      </c>
      <c r="J25" s="124">
        <v>1.397968996657154E-2</v>
      </c>
      <c r="K25" s="124"/>
      <c r="L25" s="124"/>
      <c r="M25" s="124"/>
      <c r="N25" s="124"/>
      <c r="O25" s="124"/>
      <c r="P25" s="124"/>
      <c r="Q25" s="124"/>
      <c r="R25" s="124"/>
      <c r="S25" s="124"/>
      <c r="T25" s="124"/>
      <c r="U25" s="124"/>
      <c r="AW25" s="178" t="s">
        <v>269</v>
      </c>
      <c r="AX25" s="184">
        <v>-8.8424548478875896E-3</v>
      </c>
      <c r="AY25" s="184">
        <v>-1.2499652175983436E-2</v>
      </c>
      <c r="AZ25" s="184">
        <v>-1.2510485887190562E-2</v>
      </c>
      <c r="BA25" s="184">
        <v>-8.8211162917209048E-3</v>
      </c>
      <c r="BB25" s="117"/>
    </row>
    <row r="26" spans="1:54" s="119" customFormat="1">
      <c r="A26" s="117">
        <v>1984</v>
      </c>
      <c r="B26" s="280">
        <v>0.11777635675727291</v>
      </c>
      <c r="C26" s="145">
        <v>-6.1264056544320239E-3</v>
      </c>
      <c r="D26" s="281">
        <v>3.1923658099887682E-2</v>
      </c>
      <c r="E26" s="124"/>
      <c r="F26" s="124">
        <v>-1.2673457703147706E-2</v>
      </c>
      <c r="G26" s="124">
        <v>5.7739397128618239E-2</v>
      </c>
      <c r="H26" s="124">
        <f t="shared" si="0"/>
        <v>8.0154218043125613E-2</v>
      </c>
      <c r="I26" s="146">
        <v>0.29807692307692291</v>
      </c>
      <c r="J26" s="124">
        <v>1.8353451734132425E-2</v>
      </c>
      <c r="K26" s="124"/>
      <c r="L26" s="124"/>
      <c r="M26" s="124"/>
      <c r="N26" s="124"/>
      <c r="O26" s="124"/>
      <c r="P26" s="124"/>
      <c r="Q26" s="124"/>
      <c r="R26" s="124"/>
      <c r="S26" s="124"/>
      <c r="T26" s="124"/>
      <c r="U26" s="124"/>
      <c r="AW26" s="178" t="s">
        <v>402</v>
      </c>
      <c r="AX26" s="184">
        <v>1.6939823321457336E-2</v>
      </c>
      <c r="AY26" s="184">
        <v>1.8412044492443977E-2</v>
      </c>
      <c r="AZ26" s="184">
        <v>-6.4813633409151541E-3</v>
      </c>
      <c r="BA26" s="184">
        <v>-7.1138497045627157E-3</v>
      </c>
      <c r="BB26" s="117"/>
    </row>
    <row r="27" spans="1:54" s="119" customFormat="1">
      <c r="A27" s="117">
        <v>1985</v>
      </c>
      <c r="B27" s="280">
        <v>-4.6370649623670046E-2</v>
      </c>
      <c r="C27" s="145">
        <v>-1.1420453533956806E-2</v>
      </c>
      <c r="D27" s="281">
        <v>2.6978993631846974E-2</v>
      </c>
      <c r="E27" s="124"/>
      <c r="F27" s="124">
        <v>-1.4441467618031631E-2</v>
      </c>
      <c r="G27" s="124">
        <v>2.1256641375142372E-2</v>
      </c>
      <c r="H27" s="124">
        <f t="shared" si="0"/>
        <v>-6.179131948171121E-2</v>
      </c>
      <c r="I27" s="146">
        <v>0.23068783068783083</v>
      </c>
      <c r="J27" s="124">
        <v>2.4164036198820595E-2</v>
      </c>
      <c r="K27" s="124"/>
      <c r="L27" s="124"/>
      <c r="M27" s="124"/>
      <c r="N27" s="124"/>
      <c r="O27" s="124"/>
      <c r="P27" s="124"/>
      <c r="Q27" s="124"/>
      <c r="R27" s="124"/>
      <c r="S27" s="124"/>
      <c r="T27" s="124"/>
      <c r="U27" s="124"/>
      <c r="AW27" s="179" t="s">
        <v>403</v>
      </c>
      <c r="AX27" s="185">
        <v>4.2354905531185134E-3</v>
      </c>
      <c r="AY27" s="185">
        <v>4.4685792779485378E-3</v>
      </c>
      <c r="AZ27" s="185">
        <v>1.4589829212998385E-4</v>
      </c>
      <c r="BA27" s="185">
        <v>4.9148988958025962E-3</v>
      </c>
      <c r="BB27" s="117"/>
    </row>
    <row r="28" spans="1:54" s="119" customFormat="1" ht="15" thickBot="1">
      <c r="A28" s="117">
        <v>1986</v>
      </c>
      <c r="B28" s="280">
        <v>3.9638645292269237E-2</v>
      </c>
      <c r="C28" s="145">
        <v>3.2290533242065184E-3</v>
      </c>
      <c r="D28" s="281">
        <v>2.5514610097380493E-2</v>
      </c>
      <c r="E28" s="124"/>
      <c r="F28" s="124">
        <v>-1.102678437241247E-2</v>
      </c>
      <c r="G28" s="124">
        <v>1.3762587028057976E-2</v>
      </c>
      <c r="H28" s="124">
        <f t="shared" si="0"/>
        <v>3.4894986031426128E-2</v>
      </c>
      <c r="I28" s="146">
        <v>0.24118658641444535</v>
      </c>
      <c r="J28" s="124">
        <v>3.0751520026784621E-2</v>
      </c>
      <c r="K28" s="124"/>
      <c r="L28" s="124"/>
      <c r="M28" s="124"/>
      <c r="N28" s="124"/>
      <c r="O28" s="124"/>
      <c r="P28" s="124"/>
      <c r="Q28" s="124"/>
      <c r="R28" s="124"/>
      <c r="S28" s="124"/>
      <c r="T28" s="124"/>
      <c r="U28" s="124"/>
      <c r="AW28" s="187" t="s">
        <v>233</v>
      </c>
      <c r="AX28" s="188">
        <f>SUM(AX25:AX27)</f>
        <v>1.2332859026688261E-2</v>
      </c>
      <c r="AY28" s="188">
        <f>SUM(AY25:AY27)</f>
        <v>1.0380971594409079E-2</v>
      </c>
      <c r="AZ28" s="188">
        <f>SUM(AZ25:AZ27)</f>
        <v>-1.8845950935975731E-2</v>
      </c>
      <c r="BA28" s="188">
        <f>SUM(BA25:BA27)</f>
        <v>-1.1020067100481024E-2</v>
      </c>
      <c r="BB28" s="117"/>
    </row>
    <row r="29" spans="1:54" s="119" customFormat="1">
      <c r="A29" s="117">
        <v>1987</v>
      </c>
      <c r="B29" s="280">
        <v>-6.2158663729859315E-2</v>
      </c>
      <c r="C29" s="145">
        <v>6.633658452361163E-4</v>
      </c>
      <c r="D29" s="281">
        <v>3.3452563935403107E-2</v>
      </c>
      <c r="E29" s="124"/>
      <c r="F29" s="124">
        <v>-1.2558149524133349E-2</v>
      </c>
      <c r="G29" s="124">
        <v>8.2117265722302917E-3</v>
      </c>
      <c r="H29" s="124">
        <f t="shared" si="0"/>
        <v>-6.4407054094483093E-2</v>
      </c>
      <c r="I29" s="146">
        <v>0.32040180117769324</v>
      </c>
      <c r="J29" s="124">
        <v>4.0710743097166054E-2</v>
      </c>
      <c r="K29" s="124"/>
      <c r="L29" s="124"/>
      <c r="M29" s="124"/>
      <c r="N29" s="124"/>
      <c r="O29" s="124"/>
      <c r="P29" s="124"/>
      <c r="Q29" s="124"/>
      <c r="R29" s="124"/>
      <c r="S29" s="124"/>
      <c r="T29" s="124"/>
      <c r="U29" s="124"/>
      <c r="AW29" s="180" t="s">
        <v>406</v>
      </c>
      <c r="AX29" s="117"/>
      <c r="AY29" s="117"/>
      <c r="AZ29" s="117"/>
      <c r="BA29" s="117"/>
      <c r="BB29" s="117"/>
    </row>
    <row r="30" spans="1:54" s="119" customFormat="1">
      <c r="A30" s="117">
        <v>1988</v>
      </c>
      <c r="B30" s="280">
        <v>-2.6444724317009061E-3</v>
      </c>
      <c r="C30" s="145">
        <v>-1.0351083663226207E-2</v>
      </c>
      <c r="D30" s="145">
        <v>2.189957420681448E-2</v>
      </c>
      <c r="E30" s="124"/>
      <c r="F30" s="124">
        <v>-3.1373333068252358E-2</v>
      </c>
      <c r="G30" s="124">
        <v>1.3754138281225627E-2</v>
      </c>
      <c r="H30" s="124">
        <f t="shared" si="0"/>
        <v>-7.630727207011509E-3</v>
      </c>
      <c r="I30" s="146">
        <v>0.16946484784889826</v>
      </c>
      <c r="J30" s="124">
        <v>3.4153940105925609E-2</v>
      </c>
      <c r="K30" s="124"/>
      <c r="L30" s="124"/>
      <c r="M30" s="124"/>
      <c r="N30" s="124"/>
      <c r="O30" s="124"/>
      <c r="P30" s="124"/>
      <c r="Q30" s="124"/>
      <c r="R30" s="124"/>
      <c r="S30" s="124"/>
      <c r="T30" s="124"/>
      <c r="U30" s="124"/>
    </row>
    <row r="31" spans="1:54" s="119" customFormat="1">
      <c r="A31" s="117">
        <v>1989</v>
      </c>
      <c r="B31" s="280">
        <v>0.32678831180953738</v>
      </c>
      <c r="C31" s="145">
        <v>-1.0542688488984847E-2</v>
      </c>
      <c r="D31" s="145">
        <v>2.8147997829765674E-2</v>
      </c>
      <c r="E31" s="124"/>
      <c r="F31" s="124">
        <v>-2.0359224659866566E-2</v>
      </c>
      <c r="G31" s="124">
        <v>2.9187890876385052E-3</v>
      </c>
      <c r="H31" s="124">
        <f t="shared" si="0"/>
        <v>0.35115266258965744</v>
      </c>
      <c r="I31" s="146">
        <v>0.28532974427994606</v>
      </c>
      <c r="J31" s="124">
        <v>1.0681394132888829E-2</v>
      </c>
      <c r="K31" s="124"/>
      <c r="L31" s="124"/>
      <c r="M31" s="124"/>
      <c r="N31" s="124"/>
      <c r="O31" s="124"/>
      <c r="P31" s="124"/>
      <c r="Q31" s="124"/>
      <c r="R31" s="124"/>
      <c r="S31" s="124"/>
      <c r="T31" s="124"/>
      <c r="U31" s="124"/>
    </row>
    <row r="32" spans="1:54" s="119" customFormat="1">
      <c r="A32" s="117">
        <v>1990</v>
      </c>
      <c r="B32" s="280">
        <v>-0.246045812832898</v>
      </c>
      <c r="C32" s="145">
        <v>-1.4656627569595126E-2</v>
      </c>
      <c r="D32" s="145">
        <v>3.0927005116881543E-2</v>
      </c>
      <c r="E32" s="124"/>
      <c r="F32" s="124">
        <v>-2.0551543390728604E-2</v>
      </c>
      <c r="G32" s="124">
        <v>-5.1578931272886701E-2</v>
      </c>
      <c r="H32" s="124">
        <f t="shared" si="0"/>
        <v>-0.19080175947098033</v>
      </c>
      <c r="I32" s="146">
        <v>0.44066317626527063</v>
      </c>
      <c r="J32" s="124">
        <v>3.315679884898403E-2</v>
      </c>
      <c r="K32" s="124"/>
      <c r="L32" s="124"/>
      <c r="M32" s="124"/>
      <c r="N32" s="124"/>
      <c r="O32" s="124"/>
      <c r="P32" s="124"/>
      <c r="Q32" s="124"/>
      <c r="R32" s="124"/>
      <c r="S32" s="124"/>
      <c r="T32" s="124"/>
      <c r="U32" s="124"/>
    </row>
    <row r="33" spans="1:41" s="119" customFormat="1">
      <c r="A33" s="117">
        <v>1991</v>
      </c>
      <c r="B33" s="280">
        <v>-2.8639342182233574E-2</v>
      </c>
      <c r="C33" s="145">
        <v>-3.8289264244923821E-3</v>
      </c>
      <c r="D33" s="145">
        <v>1.0610143675904992E-2</v>
      </c>
      <c r="E33" s="124"/>
      <c r="F33" s="124">
        <v>-1.5853603983768928E-2</v>
      </c>
      <c r="G33" s="124">
        <v>-1.836441469103639E-2</v>
      </c>
      <c r="H33" s="124">
        <f t="shared" si="0"/>
        <v>-7.7059059163267565E-3</v>
      </c>
      <c r="I33" s="146">
        <v>0.11811023622047245</v>
      </c>
      <c r="J33" s="124">
        <v>2.0065799660311114E-2</v>
      </c>
      <c r="K33" s="124"/>
      <c r="L33" s="124"/>
      <c r="M33" s="124"/>
      <c r="N33" s="124"/>
      <c r="O33" s="124"/>
      <c r="P33" s="124"/>
      <c r="Q33" s="124"/>
      <c r="R33" s="124"/>
      <c r="S33" s="124"/>
      <c r="T33" s="124"/>
      <c r="U33" s="124"/>
    </row>
    <row r="34" spans="1:41" s="119" customFormat="1">
      <c r="A34" s="117">
        <v>1992</v>
      </c>
      <c r="B34" s="280">
        <v>-6.8564974126627515E-2</v>
      </c>
      <c r="C34" s="145">
        <v>9.7094365876384259E-3</v>
      </c>
      <c r="D34" s="145">
        <v>1.2283083990338856E-2</v>
      </c>
      <c r="F34" s="124">
        <v>-1.3885121801744234E-2</v>
      </c>
      <c r="G34" s="124">
        <v>-1.9856164580878588E-3</v>
      </c>
      <c r="H34" s="124">
        <f t="shared" si="0"/>
        <v>-8.7584639226306202E-2</v>
      </c>
      <c r="I34" s="146">
        <v>0.17811484290357549</v>
      </c>
      <c r="J34" s="124">
        <v>5.6882923937488061E-2</v>
      </c>
      <c r="K34" s="124"/>
      <c r="L34" s="124"/>
      <c r="M34" s="124"/>
      <c r="N34" s="124"/>
      <c r="O34" s="124"/>
      <c r="P34" s="124"/>
      <c r="Q34" s="124"/>
      <c r="R34" s="124"/>
      <c r="S34" s="124"/>
      <c r="T34" s="124"/>
      <c r="U34" s="124"/>
    </row>
    <row r="35" spans="1:41" s="119" customFormat="1">
      <c r="A35" s="117">
        <v>1993</v>
      </c>
      <c r="B35" s="280">
        <v>-2.5451013215542828E-2</v>
      </c>
      <c r="C35" s="145">
        <v>-7.0052493455909082E-4</v>
      </c>
      <c r="D35" s="145">
        <v>1.7517419487520041E-2</v>
      </c>
      <c r="F35" s="124">
        <v>-7.9557627430736928E-3</v>
      </c>
      <c r="G35" s="124">
        <v>-1.5787664704104053E-2</v>
      </c>
      <c r="H35" s="124">
        <f t="shared" si="0"/>
        <v>-5.505569102255985E-3</v>
      </c>
      <c r="I35" s="146">
        <v>0.20406474158543286</v>
      </c>
      <c r="J35" s="124">
        <v>2.0614877886851853E-2</v>
      </c>
      <c r="K35" s="124"/>
      <c r="L35" s="124"/>
      <c r="M35" s="124"/>
      <c r="N35" s="124"/>
      <c r="O35" s="124"/>
      <c r="P35" s="124"/>
      <c r="Q35" s="124"/>
      <c r="R35" s="124"/>
      <c r="S35" s="124"/>
      <c r="T35" s="124"/>
      <c r="U35" s="124"/>
    </row>
    <row r="36" spans="1:41" s="119" customFormat="1">
      <c r="A36" s="117">
        <v>1994</v>
      </c>
      <c r="B36" s="280">
        <v>-2.5557766712215796E-2</v>
      </c>
      <c r="C36" s="145">
        <v>6.233067811927645E-3</v>
      </c>
      <c r="D36" s="145">
        <v>1.6427513273769595E-2</v>
      </c>
      <c r="F36" s="124">
        <v>-7.4392329635594922E-3</v>
      </c>
      <c r="G36" s="124">
        <v>-2.8648906239615881E-2</v>
      </c>
      <c r="H36" s="124">
        <f t="shared" si="0"/>
        <v>1.5349461162620325E-2</v>
      </c>
      <c r="I36" s="146">
        <v>0.18276941877339037</v>
      </c>
      <c r="J36" s="124">
        <v>1.784149241403649E-2</v>
      </c>
      <c r="K36" s="124"/>
      <c r="L36" s="124"/>
      <c r="M36" s="124"/>
      <c r="N36" s="124"/>
      <c r="O36" s="124"/>
      <c r="P36" s="124"/>
      <c r="Q36" s="124"/>
      <c r="R36" s="124"/>
      <c r="S36" s="124"/>
      <c r="T36" s="124"/>
      <c r="U36" s="124"/>
    </row>
    <row r="37" spans="1:41" s="119" customFormat="1">
      <c r="A37" s="117">
        <v>1995</v>
      </c>
      <c r="B37" s="280">
        <v>-1.639825082500157E-3</v>
      </c>
      <c r="C37" s="145">
        <v>3.2749872924294626E-3</v>
      </c>
      <c r="D37" s="145">
        <v>1.3704966510492729E-2</v>
      </c>
      <c r="F37" s="124">
        <v>-6.9648617817320334E-3</v>
      </c>
      <c r="G37" s="124">
        <v>-1.17093173374683E-2</v>
      </c>
      <c r="H37" s="124">
        <f t="shared" si="0"/>
        <v>1.7876571961504776E-2</v>
      </c>
      <c r="I37" s="146">
        <v>0.10533159947984405</v>
      </c>
      <c r="J37" s="124">
        <v>1.6137735878117596E-2</v>
      </c>
      <c r="K37" s="124"/>
      <c r="L37" s="124"/>
      <c r="M37" s="124"/>
      <c r="N37" s="124"/>
      <c r="O37" s="124"/>
      <c r="P37" s="124"/>
      <c r="Q37" s="124"/>
      <c r="R37" s="124"/>
      <c r="S37" s="124"/>
      <c r="T37" s="124"/>
      <c r="U37" s="124"/>
    </row>
    <row r="38" spans="1:41" s="119" customFormat="1">
      <c r="A38" s="117">
        <v>1996</v>
      </c>
      <c r="B38" s="280">
        <v>-5.3659060306262552E-3</v>
      </c>
      <c r="C38" s="145">
        <v>-8.1917300061040699E-3</v>
      </c>
      <c r="D38" s="145">
        <v>8.3437977899833687E-3</v>
      </c>
      <c r="F38" s="124">
        <v>-8.1283393065230188E-3</v>
      </c>
      <c r="G38" s="124">
        <v>-1.0046038470536353E-2</v>
      </c>
      <c r="H38" s="124">
        <f t="shared" si="0"/>
        <v>-8.9760484721480502E-4</v>
      </c>
      <c r="I38" s="146">
        <v>8.1764705882352962E-2</v>
      </c>
      <c r="J38" s="124">
        <v>1.3858144377527221E-2</v>
      </c>
      <c r="K38" s="124"/>
      <c r="L38" s="124"/>
      <c r="M38" s="124"/>
      <c r="N38" s="124"/>
      <c r="O38" s="124"/>
      <c r="P38" s="124"/>
      <c r="Q38" s="124"/>
      <c r="R38" s="124"/>
      <c r="S38" s="124"/>
      <c r="T38" s="124"/>
      <c r="U38" s="124"/>
    </row>
    <row r="39" spans="1:41" s="119" customFormat="1">
      <c r="A39" s="117">
        <v>1997</v>
      </c>
      <c r="B39" s="280">
        <v>6.5480328359737161E-3</v>
      </c>
      <c r="C39" s="145">
        <v>-2.0910061035459004E-4</v>
      </c>
      <c r="D39" s="145">
        <v>8.1815786758147029E-3</v>
      </c>
      <c r="F39" s="124">
        <v>-7.8895221886851451E-3</v>
      </c>
      <c r="G39" s="124">
        <v>7.4569472001049875E-3</v>
      </c>
      <c r="H39" s="124">
        <f t="shared" si="0"/>
        <v>3.9418009340505527E-3</v>
      </c>
      <c r="I39" s="146">
        <v>6.1990212071778128E-2</v>
      </c>
      <c r="J39" s="124">
        <v>1.1011284955963435E-2</v>
      </c>
      <c r="K39" s="124"/>
      <c r="L39" s="124"/>
      <c r="M39" s="124"/>
      <c r="N39" s="124"/>
      <c r="O39" s="124"/>
      <c r="P39" s="124"/>
      <c r="Q39" s="124"/>
      <c r="R39" s="124"/>
      <c r="S39" s="124"/>
      <c r="T39" s="124"/>
      <c r="U39" s="124"/>
    </row>
    <row r="40" spans="1:41" s="119" customFormat="1">
      <c r="A40" s="117">
        <v>1998</v>
      </c>
      <c r="B40" s="280">
        <v>2.557846279562237E-2</v>
      </c>
      <c r="C40" s="145">
        <v>-3.6352694890445653E-3</v>
      </c>
      <c r="D40" s="145">
        <v>1.0831382985847123E-2</v>
      </c>
      <c r="F40" s="124">
        <v>-9.014037965306575E-3</v>
      </c>
      <c r="G40" s="124">
        <v>-1.7627308929904783E-2</v>
      </c>
      <c r="H40" s="124">
        <f t="shared" si="0"/>
        <v>4.877363868448642E-2</v>
      </c>
      <c r="I40" s="146">
        <v>0.14644137224782372</v>
      </c>
      <c r="J40" s="124">
        <v>1.0642284503149873E-2</v>
      </c>
      <c r="K40" s="124"/>
      <c r="L40" s="124"/>
      <c r="M40" s="124"/>
      <c r="N40" s="124"/>
      <c r="O40" s="124"/>
      <c r="P40" s="124"/>
      <c r="Q40" s="124"/>
      <c r="R40" s="124"/>
      <c r="S40" s="124"/>
      <c r="T40" s="124"/>
      <c r="U40" s="124"/>
    </row>
    <row r="41" spans="1:41" s="119" customFormat="1">
      <c r="A41" s="117">
        <v>1999</v>
      </c>
      <c r="B41" s="280">
        <v>8.9818558863818954E-2</v>
      </c>
      <c r="C41" s="145">
        <v>9.2753640442344576E-4</v>
      </c>
      <c r="D41" s="145">
        <v>3.0797955242098693E-3</v>
      </c>
      <c r="F41" s="124">
        <v>-1.015382974600655E-2</v>
      </c>
      <c r="G41" s="124">
        <v>2.8575712199309728E-2</v>
      </c>
      <c r="H41" s="124">
        <f t="shared" si="0"/>
        <v>6.4352939565978678E-2</v>
      </c>
      <c r="I41" s="146">
        <v>5.4041983028137563E-2</v>
      </c>
      <c r="J41" s="124">
        <v>1.105106877317041E-2</v>
      </c>
      <c r="K41" s="124"/>
      <c r="L41" s="124"/>
      <c r="M41" s="124"/>
      <c r="N41" s="124"/>
      <c r="O41" s="124"/>
      <c r="P41" s="124"/>
      <c r="Q41" s="124"/>
      <c r="R41" s="124"/>
      <c r="S41" s="124"/>
      <c r="T41" s="124"/>
      <c r="U41" s="124"/>
    </row>
    <row r="42" spans="1:41" s="119" customFormat="1">
      <c r="A42" s="117">
        <v>2000</v>
      </c>
      <c r="B42" s="280">
        <v>1.5427547233904715E-2</v>
      </c>
      <c r="C42" s="145">
        <v>-7.9596053561067914E-3</v>
      </c>
      <c r="D42" s="145">
        <v>4.7186133789233423E-3</v>
      </c>
      <c r="F42" s="124">
        <v>-1.6505449469879828E-2</v>
      </c>
      <c r="G42" s="124">
        <v>2.8945353052905715E-2</v>
      </c>
      <c r="H42" s="124">
        <f t="shared" si="0"/>
        <v>-1.0901868654917428E-2</v>
      </c>
      <c r="I42" s="146">
        <v>8.6440677966101553E-2</v>
      </c>
      <c r="J42" s="124">
        <v>1.0648520328612805E-2</v>
      </c>
      <c r="K42" s="124"/>
      <c r="L42" s="124"/>
      <c r="M42" s="124"/>
      <c r="N42" s="124"/>
      <c r="O42" s="124"/>
      <c r="P42" s="124"/>
      <c r="Q42" s="124"/>
      <c r="R42" s="124"/>
      <c r="S42" s="124"/>
      <c r="T42" s="124"/>
      <c r="U42" s="124"/>
      <c r="AA42" s="117"/>
      <c r="AG42" s="117"/>
      <c r="AH42" s="117"/>
      <c r="AN42" s="117"/>
      <c r="AO42" s="117"/>
    </row>
    <row r="43" spans="1:41" s="119" customFormat="1">
      <c r="A43" s="117">
        <v>2001</v>
      </c>
      <c r="B43" s="280">
        <v>5.6470984740101593E-2</v>
      </c>
      <c r="C43" s="145">
        <v>-2.9344608592270921E-3</v>
      </c>
      <c r="D43" s="145">
        <v>5.1324737454704174E-3</v>
      </c>
      <c r="F43" s="124">
        <v>-2.2026334855204541E-2</v>
      </c>
      <c r="G43" s="124">
        <v>-9.9838576704444661E-3</v>
      </c>
      <c r="H43" s="124">
        <f t="shared" si="0"/>
        <v>7.805460211708673E-2</v>
      </c>
      <c r="I43" s="146">
        <v>8.3853354134165503E-2</v>
      </c>
      <c r="J43" s="124">
        <v>1.2624588034907194E-2</v>
      </c>
      <c r="K43" s="124"/>
      <c r="L43" s="124"/>
      <c r="M43" s="124"/>
      <c r="N43" s="124"/>
      <c r="O43" s="124"/>
      <c r="P43" s="124"/>
      <c r="Q43" s="124"/>
      <c r="R43" s="124"/>
      <c r="S43" s="124"/>
      <c r="T43" s="124"/>
      <c r="U43" s="124"/>
      <c r="Z43" s="117"/>
      <c r="AA43" s="117"/>
      <c r="AG43" s="117"/>
      <c r="AH43" s="117"/>
      <c r="AN43" s="117"/>
      <c r="AO43" s="117"/>
    </row>
    <row r="44" spans="1:41" s="119" customFormat="1">
      <c r="A44" s="117">
        <v>2002</v>
      </c>
      <c r="B44" s="280">
        <v>0.13740938765474536</v>
      </c>
      <c r="C44" s="145">
        <v>-1.0143324751888304E-2</v>
      </c>
      <c r="D44" s="145">
        <v>9.0314349576491228E-3</v>
      </c>
      <c r="F44" s="124">
        <v>-1.7147989872385958E-2</v>
      </c>
      <c r="G44" s="124">
        <v>2.0637656403093251E-2</v>
      </c>
      <c r="H44" s="124">
        <f t="shared" si="0"/>
        <v>0.12155339511681525</v>
      </c>
      <c r="I44" s="146">
        <v>0.14645555955379663</v>
      </c>
      <c r="J44" s="124">
        <v>1.1254436212983649E-2</v>
      </c>
      <c r="K44" s="124"/>
      <c r="L44" s="124"/>
      <c r="M44" s="124"/>
      <c r="N44" s="124"/>
      <c r="O44" s="124"/>
      <c r="P44" s="124"/>
      <c r="Q44" s="124"/>
      <c r="R44" s="124"/>
      <c r="S44" s="124"/>
      <c r="T44" s="124"/>
      <c r="U44" s="124"/>
      <c r="Z44" s="117"/>
      <c r="AA44" s="117"/>
      <c r="AG44" s="117"/>
      <c r="AH44" s="117"/>
      <c r="AN44" s="117"/>
      <c r="AO44" s="117"/>
    </row>
    <row r="45" spans="1:41" s="119" customFormat="1">
      <c r="A45" s="117">
        <v>2003</v>
      </c>
      <c r="B45" s="280">
        <v>-9.592438812822035E-2</v>
      </c>
      <c r="C45" s="145">
        <v>2.113276071423862E-2</v>
      </c>
      <c r="D45" s="145">
        <v>7.4705260460643137E-3</v>
      </c>
      <c r="F45" s="124">
        <v>-1.7814904145116502E-2</v>
      </c>
      <c r="G45" s="124">
        <v>-1.062269985414103E-2</v>
      </c>
      <c r="H45" s="124">
        <f t="shared" si="0"/>
        <v>-5.0493070679694642E-2</v>
      </c>
      <c r="I45" s="146">
        <v>9.3220338983050821E-2</v>
      </c>
      <c r="J45" s="124">
        <v>1.1609573311034746E-2</v>
      </c>
      <c r="K45" s="124"/>
      <c r="L45" s="124"/>
      <c r="M45" s="124"/>
      <c r="N45" s="124"/>
      <c r="O45" s="124"/>
      <c r="P45" s="124"/>
      <c r="Q45" s="124"/>
      <c r="R45" s="124"/>
      <c r="S45" s="124"/>
      <c r="T45" s="124"/>
      <c r="U45" s="124"/>
      <c r="Z45" s="117"/>
      <c r="AA45" s="117"/>
      <c r="AG45" s="117"/>
      <c r="AH45" s="117"/>
      <c r="AN45" s="117"/>
      <c r="AO45" s="117"/>
    </row>
    <row r="46" spans="1:41" s="119" customFormat="1">
      <c r="A46" s="117">
        <v>2004</v>
      </c>
      <c r="B46" s="280">
        <v>-2.5532042457046877E-2</v>
      </c>
      <c r="C46" s="145">
        <v>2.8018435536893288E-3</v>
      </c>
      <c r="D46" s="145">
        <v>5.3402784072797737E-3</v>
      </c>
      <c r="F46" s="124">
        <v>-1.6997807503685066E-2</v>
      </c>
      <c r="G46" s="124">
        <v>-2.1459125152034349E-2</v>
      </c>
      <c r="H46" s="124">
        <f t="shared" si="0"/>
        <v>2.1454769384754956E-3</v>
      </c>
      <c r="I46" s="146">
        <v>2.8136663795578443E-2</v>
      </c>
      <c r="J46" s="124">
        <v>1.8921535221166144E-2</v>
      </c>
      <c r="K46" s="124"/>
      <c r="L46" s="124"/>
      <c r="M46" s="124"/>
      <c r="N46" s="124"/>
      <c r="O46" s="124"/>
      <c r="P46" s="124"/>
      <c r="Q46" s="124"/>
      <c r="R46" s="124"/>
      <c r="S46" s="124"/>
      <c r="T46" s="124"/>
      <c r="U46" s="124"/>
      <c r="Z46" s="117"/>
      <c r="AA46" s="117"/>
      <c r="AG46" s="117"/>
      <c r="AH46" s="117"/>
      <c r="AN46" s="117"/>
      <c r="AO46" s="117"/>
    </row>
    <row r="47" spans="1:41" s="119" customFormat="1">
      <c r="A47" s="117">
        <v>2005</v>
      </c>
      <c r="B47" s="280">
        <v>-5.9134666457242135E-2</v>
      </c>
      <c r="C47" s="145">
        <v>-6.0099850460981347E-3</v>
      </c>
      <c r="D47" s="145">
        <v>9.1990920346340065E-3</v>
      </c>
      <c r="F47" s="124">
        <v>-1.1966482656508511E-2</v>
      </c>
      <c r="G47" s="124">
        <v>-1.4589933950646556E-2</v>
      </c>
      <c r="H47" s="124">
        <f t="shared" si="0"/>
        <v>-4.5764520686490714E-2</v>
      </c>
      <c r="I47" s="146">
        <v>9.8575816810946515E-2</v>
      </c>
      <c r="J47" s="124">
        <v>1.6375377824939519E-2</v>
      </c>
      <c r="K47" s="124"/>
      <c r="L47" s="124"/>
      <c r="M47" s="124"/>
      <c r="N47" s="124"/>
      <c r="O47" s="124"/>
      <c r="P47" s="124"/>
      <c r="Q47" s="124"/>
      <c r="R47" s="124"/>
      <c r="S47" s="124"/>
      <c r="T47" s="124"/>
      <c r="U47" s="124"/>
      <c r="Z47" s="117"/>
      <c r="AA47" s="117"/>
      <c r="AG47" s="117"/>
      <c r="AH47" s="117"/>
      <c r="AN47" s="117"/>
      <c r="AO47" s="117"/>
    </row>
    <row r="48" spans="1:41" s="119" customFormat="1">
      <c r="A48" s="117">
        <v>2006</v>
      </c>
      <c r="B48" s="280">
        <v>-8.3364771740024962E-2</v>
      </c>
      <c r="C48" s="145">
        <v>1.2487325891835099E-3</v>
      </c>
      <c r="D48" s="145">
        <v>1.1923975386202138E-2</v>
      </c>
      <c r="F48" s="124">
        <v>-9.7162061241817411E-3</v>
      </c>
      <c r="G48" s="124">
        <v>-2.0807571819353624E-2</v>
      </c>
      <c r="H48" s="124">
        <f t="shared" si="0"/>
        <v>-5.561029398313333E-2</v>
      </c>
      <c r="I48" s="146">
        <v>0.12480935434672102</v>
      </c>
      <c r="J48" s="124">
        <v>1.594200816202938E-2</v>
      </c>
      <c r="K48" s="124"/>
      <c r="L48" s="124"/>
      <c r="M48" s="124"/>
      <c r="N48" s="124"/>
      <c r="O48" s="124"/>
      <c r="P48" s="124"/>
      <c r="Q48" s="124"/>
      <c r="R48" s="124"/>
      <c r="S48" s="124"/>
      <c r="T48" s="124"/>
      <c r="U48" s="124"/>
      <c r="Z48" s="117"/>
      <c r="AA48" s="117"/>
      <c r="AG48" s="117"/>
      <c r="AH48" s="117"/>
      <c r="AN48" s="117"/>
      <c r="AO48" s="117"/>
    </row>
    <row r="49" spans="1:46" s="119" customFormat="1">
      <c r="A49" s="117">
        <v>2007</v>
      </c>
      <c r="B49" s="280">
        <v>-4.6666360704923249E-2</v>
      </c>
      <c r="C49" s="145">
        <v>1.3453397111602414E-2</v>
      </c>
      <c r="D49" s="145">
        <v>8.3691135450840674E-3</v>
      </c>
      <c r="F49" s="124">
        <v>-8.8482421848265335E-3</v>
      </c>
      <c r="G49" s="124">
        <v>-1.8132912118761356E-2</v>
      </c>
      <c r="H49" s="124">
        <f t="shared" si="0"/>
        <v>-1.2882697043543688E-2</v>
      </c>
      <c r="I49" s="146">
        <v>5.966101694915249E-2</v>
      </c>
      <c r="J49" s="124">
        <v>1.5020001298894808E-2</v>
      </c>
      <c r="K49" s="124"/>
      <c r="L49" s="124"/>
      <c r="M49" s="124"/>
      <c r="N49" s="124"/>
      <c r="O49" s="124"/>
      <c r="P49" s="124"/>
      <c r="Q49" s="124"/>
      <c r="R49" s="124"/>
      <c r="S49" s="124"/>
      <c r="T49" s="124"/>
      <c r="U49" s="124"/>
      <c r="Z49" s="117"/>
      <c r="AA49" s="117"/>
      <c r="AG49" s="117"/>
      <c r="AH49" s="117"/>
      <c r="AN49" s="117"/>
      <c r="AO49" s="117"/>
    </row>
    <row r="50" spans="1:46" s="119" customFormat="1">
      <c r="A50" s="117">
        <v>2008</v>
      </c>
      <c r="B50" s="280">
        <v>-1.4475630873642842E-2</v>
      </c>
      <c r="C50" s="145">
        <v>1.0601917844805797E-3</v>
      </c>
      <c r="D50" s="145">
        <v>1.1696573622548306E-2</v>
      </c>
      <c r="F50" s="124">
        <v>-7.0211698497415322E-3</v>
      </c>
      <c r="G50" s="124">
        <v>-3.0258425469593144E-2</v>
      </c>
      <c r="H50" s="124">
        <f t="shared" si="0"/>
        <v>2.0368550788516574E-2</v>
      </c>
      <c r="I50" s="146">
        <v>7.4999999999999956E-2</v>
      </c>
      <c r="J50" s="124">
        <v>1.5192179064204146E-2</v>
      </c>
      <c r="K50" s="124"/>
      <c r="L50" s="124"/>
      <c r="M50" s="124"/>
      <c r="N50" s="124"/>
      <c r="O50" s="124"/>
      <c r="P50" s="124"/>
      <c r="Q50" s="124"/>
      <c r="R50" s="124"/>
      <c r="S50" s="124"/>
      <c r="T50" s="124"/>
      <c r="U50" s="124"/>
      <c r="Z50" s="117"/>
      <c r="AA50" s="117"/>
      <c r="AG50" s="117"/>
      <c r="AH50" s="117"/>
      <c r="AN50" s="117"/>
      <c r="AO50" s="117"/>
    </row>
    <row r="51" spans="1:46" s="119" customFormat="1">
      <c r="A51" s="117">
        <v>2009</v>
      </c>
      <c r="B51" s="280">
        <v>-4.1533391664158037E-3</v>
      </c>
      <c r="C51" s="145">
        <v>3.4075699503982773E-2</v>
      </c>
      <c r="D51" s="145">
        <v>-2.1015875015778082E-3</v>
      </c>
      <c r="F51" s="124">
        <v>-7.1120253460468415E-3</v>
      </c>
      <c r="G51" s="124">
        <v>3.4338402826252822E-3</v>
      </c>
      <c r="H51" s="124">
        <f t="shared" si="0"/>
        <v>1.5030080349174801E-2</v>
      </c>
      <c r="I51" s="146">
        <v>1.8604651162790642E-2</v>
      </c>
      <c r="J51" s="124">
        <v>1.6468877550235919E-2</v>
      </c>
      <c r="K51" s="124"/>
      <c r="L51" s="124"/>
      <c r="M51" s="124"/>
      <c r="N51" s="124"/>
      <c r="O51" s="124"/>
      <c r="P51" s="124"/>
      <c r="Q51" s="124"/>
      <c r="R51" s="124"/>
      <c r="S51" s="124"/>
      <c r="T51" s="124"/>
      <c r="U51" s="124"/>
      <c r="Z51" s="117"/>
      <c r="AA51" s="117"/>
      <c r="AG51" s="117"/>
      <c r="AH51" s="117"/>
      <c r="AN51" s="117"/>
      <c r="AO51" s="117"/>
    </row>
    <row r="52" spans="1:46" s="119" customFormat="1">
      <c r="A52" s="117">
        <v>2010</v>
      </c>
      <c r="B52" s="280">
        <v>-2.3635805578038044E-2</v>
      </c>
      <c r="C52" s="145">
        <v>-2.0203431365306987E-2</v>
      </c>
      <c r="D52" s="145">
        <v>2.2508710371731151E-2</v>
      </c>
      <c r="F52" s="124">
        <v>-6.140214035208127E-3</v>
      </c>
      <c r="G52" s="124">
        <v>-8.929349655473191E-3</v>
      </c>
      <c r="H52" s="124">
        <f t="shared" si="0"/>
        <v>-2.0021883496710084E-2</v>
      </c>
      <c r="I52" s="146">
        <v>7.214611872146115E-2</v>
      </c>
      <c r="J52" s="124">
        <v>1.376092061577752E-2</v>
      </c>
      <c r="K52" s="124"/>
      <c r="L52" s="124"/>
      <c r="M52" s="124"/>
      <c r="N52" s="124"/>
      <c r="O52" s="124"/>
      <c r="P52" s="124"/>
      <c r="Q52" s="124"/>
      <c r="R52" s="124"/>
      <c r="S52" s="124"/>
      <c r="T52" s="124"/>
      <c r="U52" s="124"/>
      <c r="Z52" s="117"/>
      <c r="AA52" s="117"/>
      <c r="AG52" s="117"/>
      <c r="AH52" s="117"/>
      <c r="AN52" s="117"/>
      <c r="AO52" s="117"/>
    </row>
    <row r="53" spans="1:46" s="119" customFormat="1">
      <c r="A53" s="117">
        <v>2011</v>
      </c>
      <c r="B53" s="280">
        <v>-1.7270668425415497E-2</v>
      </c>
      <c r="C53" s="145">
        <v>2.0337195200733765E-3</v>
      </c>
      <c r="D53" s="145">
        <v>9.3863116533591268E-3</v>
      </c>
      <c r="F53" s="124">
        <v>-5.6520574468462825E-3</v>
      </c>
      <c r="G53" s="124">
        <v>-1.3615591717657808E-2</v>
      </c>
      <c r="H53" s="124">
        <f t="shared" si="0"/>
        <v>1.055637846957445E-3</v>
      </c>
      <c r="I53" s="146">
        <v>4.9403747870528036E-2</v>
      </c>
      <c r="J53" s="124">
        <v>1.2361374065563651E-2</v>
      </c>
      <c r="K53" s="124"/>
      <c r="L53" s="124"/>
      <c r="M53" s="124"/>
      <c r="N53" s="124"/>
      <c r="O53" s="124"/>
      <c r="P53" s="124"/>
      <c r="Q53" s="124"/>
      <c r="R53" s="124"/>
      <c r="S53" s="124"/>
      <c r="T53" s="124"/>
      <c r="U53" s="124"/>
      <c r="Z53" s="117"/>
      <c r="AA53" s="117"/>
      <c r="AG53" s="117"/>
      <c r="AH53" s="117"/>
      <c r="AN53" s="117"/>
      <c r="AO53" s="117"/>
    </row>
    <row r="54" spans="1:46" s="119" customFormat="1">
      <c r="A54" s="117">
        <v>2012</v>
      </c>
      <c r="B54" s="280">
        <v>-8.7206296602150568E-3</v>
      </c>
      <c r="C54" s="145">
        <v>1.4635595095278772E-2</v>
      </c>
      <c r="D54" s="145">
        <v>2.8870534066371177E-3</v>
      </c>
      <c r="F54" s="124">
        <v>-5.7550452591347123E-3</v>
      </c>
      <c r="G54" s="124">
        <v>1.5447232822953856E-2</v>
      </c>
      <c r="H54" s="124">
        <f t="shared" si="0"/>
        <v>-1.3515375226431519E-2</v>
      </c>
      <c r="I54" s="146">
        <v>3.9772727272727293E-2</v>
      </c>
      <c r="J54" s="124">
        <v>1.2625206504313207E-2</v>
      </c>
      <c r="K54" s="124"/>
      <c r="L54" s="124"/>
      <c r="M54" s="124"/>
      <c r="N54" s="124"/>
      <c r="O54" s="124"/>
      <c r="P54" s="124"/>
      <c r="Q54" s="124"/>
      <c r="R54" s="124"/>
      <c r="S54" s="124"/>
      <c r="T54" s="124"/>
      <c r="U54" s="124"/>
      <c r="Z54" s="117"/>
      <c r="AA54" s="117"/>
      <c r="AG54" s="117"/>
      <c r="AH54" s="117"/>
      <c r="AN54" s="117"/>
      <c r="AO54" s="117"/>
    </row>
    <row r="55" spans="1:46" s="119" customFormat="1">
      <c r="A55" s="117">
        <v>2013</v>
      </c>
      <c r="B55" s="280">
        <v>6.762954688286818E-3</v>
      </c>
      <c r="C55" s="145">
        <v>-1.9702199769829204E-2</v>
      </c>
      <c r="D55" s="145">
        <v>1.9327228175991706E-2</v>
      </c>
      <c r="F55" s="124">
        <v>-4.829496831689933E-3</v>
      </c>
      <c r="G55" s="124">
        <v>1.7664602327587233E-2</v>
      </c>
      <c r="H55" s="124">
        <f t="shared" si="0"/>
        <v>-1.6064203077854344E-2</v>
      </c>
      <c r="I55" s="146">
        <v>3.7470725995316201E-2</v>
      </c>
      <c r="J55" s="124">
        <v>9.6170806764063633E-3</v>
      </c>
      <c r="K55" s="124"/>
      <c r="L55" s="124"/>
      <c r="M55" s="124"/>
      <c r="N55" s="124"/>
      <c r="O55" s="124"/>
      <c r="P55" s="124"/>
      <c r="Q55" s="124"/>
      <c r="R55" s="124"/>
      <c r="S55" s="124"/>
      <c r="T55" s="124"/>
      <c r="U55" s="124"/>
      <c r="Z55" s="117"/>
      <c r="AA55" s="117"/>
      <c r="AB55" s="117"/>
      <c r="AC55" s="117"/>
      <c r="AD55" s="117"/>
      <c r="AE55" s="117"/>
      <c r="AF55" s="117"/>
      <c r="AG55" s="117"/>
      <c r="AH55" s="117"/>
      <c r="AI55" s="117"/>
      <c r="AJ55" s="117"/>
      <c r="AK55" s="117"/>
      <c r="AL55" s="117"/>
      <c r="AM55" s="117"/>
      <c r="AN55" s="117"/>
      <c r="AO55" s="117"/>
    </row>
    <row r="56" spans="1:46" s="119" customFormat="1">
      <c r="A56" s="117">
        <v>2014</v>
      </c>
      <c r="B56" s="280">
        <v>-6.9007949255428386E-3</v>
      </c>
      <c r="C56" s="145">
        <v>6.9259040088752444E-4</v>
      </c>
      <c r="D56" s="145">
        <v>8.8043534085367088E-3</v>
      </c>
      <c r="F56" s="128" t="e">
        <v>#DIV/0!</v>
      </c>
      <c r="G56" s="124">
        <v>1.2994887700163785E-2</v>
      </c>
      <c r="H56" s="124"/>
      <c r="I56" s="146">
        <v>4.2136945071482357E-2</v>
      </c>
      <c r="M56" s="124"/>
      <c r="N56" s="124"/>
      <c r="O56" s="124"/>
      <c r="P56" s="124"/>
      <c r="Q56" s="124"/>
      <c r="R56" s="124"/>
      <c r="S56" s="124"/>
      <c r="T56" s="124"/>
      <c r="U56" s="124"/>
      <c r="Z56" s="117"/>
      <c r="AA56" s="117"/>
      <c r="AB56" s="117"/>
      <c r="AC56" s="117"/>
      <c r="AD56" s="117"/>
      <c r="AE56" s="117"/>
      <c r="AF56" s="117"/>
      <c r="AG56" s="117"/>
      <c r="AH56" s="117"/>
      <c r="AI56" s="117"/>
      <c r="AJ56" s="117"/>
      <c r="AK56" s="117"/>
      <c r="AL56" s="117"/>
      <c r="AM56" s="117"/>
      <c r="AN56" s="117"/>
      <c r="AO56" s="117"/>
    </row>
    <row r="57" spans="1:46">
      <c r="A57" s="117">
        <v>2015</v>
      </c>
      <c r="B57" s="119"/>
      <c r="G57" s="127"/>
      <c r="H57" s="127"/>
      <c r="M57" s="119"/>
      <c r="N57" s="119"/>
      <c r="O57" s="119"/>
      <c r="P57" s="119"/>
      <c r="Q57" s="119"/>
      <c r="R57" s="119"/>
      <c r="S57" s="119"/>
      <c r="T57" s="119"/>
      <c r="U57" s="119"/>
      <c r="AP57" s="119"/>
      <c r="AQ57" s="119"/>
      <c r="AR57" s="119"/>
      <c r="AS57" s="119"/>
      <c r="AT57" s="119"/>
    </row>
    <row r="58" spans="1:46">
      <c r="A58" s="117">
        <v>2016</v>
      </c>
      <c r="B58" s="119"/>
      <c r="G58" s="127"/>
      <c r="H58" s="127"/>
      <c r="AP58" s="119"/>
      <c r="AQ58" s="119"/>
      <c r="AR58" s="119"/>
      <c r="AS58" s="119"/>
      <c r="AT58" s="119"/>
    </row>
    <row r="59" spans="1:46">
      <c r="AP59" s="119"/>
      <c r="AQ59" s="119"/>
      <c r="AR59" s="119"/>
      <c r="AS59" s="119"/>
      <c r="AT59" s="119"/>
    </row>
    <row r="60" spans="1:46">
      <c r="AP60" s="119"/>
      <c r="AQ60" s="119"/>
      <c r="AR60" s="119"/>
      <c r="AS60" s="119"/>
      <c r="AT60" s="119"/>
    </row>
    <row r="61" spans="1:46">
      <c r="AP61" s="119"/>
      <c r="AQ61" s="119"/>
      <c r="AR61" s="119"/>
      <c r="AS61" s="119"/>
      <c r="AT61" s="119"/>
    </row>
    <row r="62" spans="1:46">
      <c r="AP62" s="119"/>
      <c r="AQ62" s="119"/>
      <c r="AR62" s="119"/>
      <c r="AS62" s="119"/>
      <c r="AT62" s="119"/>
    </row>
    <row r="63" spans="1:46">
      <c r="AP63" s="119"/>
      <c r="AQ63" s="119"/>
      <c r="AR63" s="119"/>
      <c r="AS63" s="119"/>
      <c r="AT63" s="119"/>
    </row>
    <row r="64" spans="1:46">
      <c r="AP64" s="119"/>
      <c r="AQ64" s="119"/>
      <c r="AR64" s="119"/>
      <c r="AS64" s="119"/>
      <c r="AT64" s="119"/>
    </row>
    <row r="65" spans="42:46" s="117" customFormat="1">
      <c r="AP65" s="119"/>
      <c r="AQ65" s="119"/>
      <c r="AR65" s="119"/>
      <c r="AS65" s="119"/>
      <c r="AT65" s="119"/>
    </row>
    <row r="66" spans="42:46" s="117" customFormat="1">
      <c r="AP66" s="119"/>
      <c r="AQ66" s="119"/>
      <c r="AR66" s="119"/>
      <c r="AS66" s="119"/>
      <c r="AT66" s="119"/>
    </row>
    <row r="67" spans="42:46" s="117" customFormat="1">
      <c r="AP67" s="119"/>
      <c r="AQ67" s="119"/>
      <c r="AR67" s="119"/>
      <c r="AS67" s="119"/>
      <c r="AT67" s="119"/>
    </row>
    <row r="68" spans="42:46" s="117" customFormat="1">
      <c r="AP68" s="119"/>
      <c r="AQ68" s="119"/>
      <c r="AR68" s="119"/>
      <c r="AS68" s="119"/>
      <c r="AT68" s="119"/>
    </row>
    <row r="69" spans="42:46" s="117" customFormat="1">
      <c r="AP69" s="119"/>
      <c r="AQ69" s="119"/>
      <c r="AR69" s="119"/>
      <c r="AS69" s="119"/>
      <c r="AT69" s="119"/>
    </row>
    <row r="77" spans="42:46" s="117" customFormat="1" ht="6" customHeight="1"/>
    <row r="90" spans="22:25" ht="6" customHeight="1">
      <c r="V90" s="117"/>
      <c r="W90" s="117"/>
      <c r="X90" s="117"/>
      <c r="Y90" s="117"/>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theme="9" tint="0.39997558519241921"/>
  </sheetPr>
  <dimension ref="A1:AE73"/>
  <sheetViews>
    <sheetView topLeftCell="Q1" zoomScale="85" zoomScaleNormal="85" zoomScalePageLayoutView="85" workbookViewId="0">
      <selection activeCell="U8" sqref="U8"/>
    </sheetView>
  </sheetViews>
  <sheetFormatPr defaultColWidth="11.44140625" defaultRowHeight="14.4"/>
  <cols>
    <col min="1" max="1" width="11.44140625" style="37"/>
    <col min="2" max="27" width="22" style="37" customWidth="1"/>
    <col min="28" max="28" width="21.109375" style="37" customWidth="1"/>
    <col min="29" max="16384" width="11.44140625" style="37"/>
  </cols>
  <sheetData>
    <row r="1" spans="1:28">
      <c r="A1" s="63" t="s">
        <v>166</v>
      </c>
    </row>
    <row r="3" spans="1:28" ht="22.5" customHeight="1">
      <c r="B3" s="448" t="s">
        <v>50</v>
      </c>
      <c r="C3" s="448"/>
      <c r="D3" s="448"/>
      <c r="E3" s="448"/>
      <c r="F3" s="448"/>
      <c r="G3" s="448"/>
      <c r="H3" s="448"/>
      <c r="I3" s="448"/>
      <c r="J3" s="448"/>
      <c r="K3" s="448"/>
      <c r="L3" s="448"/>
      <c r="M3" s="448"/>
      <c r="N3" s="448"/>
      <c r="O3" s="448"/>
      <c r="P3" s="448"/>
      <c r="Q3" s="448"/>
      <c r="R3" s="448"/>
      <c r="S3" s="448"/>
      <c r="T3" s="448"/>
      <c r="U3" s="448"/>
      <c r="V3" s="448"/>
      <c r="W3" s="448"/>
      <c r="X3" s="448"/>
      <c r="Y3" s="448"/>
      <c r="Z3" s="448"/>
      <c r="AA3" s="448"/>
    </row>
    <row r="4" spans="1:28" s="5" customFormat="1" ht="32.25" customHeight="1">
      <c r="B4" s="8" t="s">
        <v>88</v>
      </c>
      <c r="C4" s="8" t="s">
        <v>19</v>
      </c>
      <c r="D4" s="8" t="s">
        <v>17</v>
      </c>
      <c r="E4" s="8" t="s">
        <v>3</v>
      </c>
      <c r="F4" s="8" t="s">
        <v>63</v>
      </c>
      <c r="G4" s="8" t="s">
        <v>64</v>
      </c>
      <c r="H4" s="8" t="s">
        <v>65</v>
      </c>
      <c r="I4" s="8" t="s">
        <v>66</v>
      </c>
      <c r="J4" s="8" t="s">
        <v>21</v>
      </c>
      <c r="K4" s="8" t="s">
        <v>32</v>
      </c>
      <c r="L4" s="8" t="s">
        <v>33</v>
      </c>
      <c r="M4" s="8" t="s">
        <v>96</v>
      </c>
      <c r="N4" s="8" t="s">
        <v>97</v>
      </c>
      <c r="O4" s="8" t="s">
        <v>11</v>
      </c>
      <c r="P4" s="8" t="s">
        <v>24</v>
      </c>
      <c r="Q4" s="8" t="s">
        <v>98</v>
      </c>
      <c r="R4" s="8" t="s">
        <v>99</v>
      </c>
      <c r="S4" s="8" t="s">
        <v>100</v>
      </c>
      <c r="T4" s="292"/>
      <c r="U4" s="292"/>
      <c r="V4" s="8" t="s">
        <v>101</v>
      </c>
      <c r="W4" s="8" t="s">
        <v>102</v>
      </c>
      <c r="X4" s="8" t="s">
        <v>103</v>
      </c>
      <c r="Y4" s="8" t="s">
        <v>105</v>
      </c>
      <c r="Z4" s="8" t="s">
        <v>104</v>
      </c>
      <c r="AA4" s="8" t="s">
        <v>106</v>
      </c>
      <c r="AB4" s="6"/>
    </row>
    <row r="5" spans="1:28">
      <c r="B5" s="12">
        <v>1960</v>
      </c>
      <c r="C5" s="35"/>
      <c r="D5" s="35"/>
      <c r="E5" s="35"/>
      <c r="F5" s="35"/>
      <c r="G5" s="35"/>
      <c r="H5" s="35"/>
      <c r="I5" s="35"/>
      <c r="J5" s="35"/>
      <c r="K5" s="35"/>
      <c r="L5" s="35"/>
      <c r="M5" s="35"/>
      <c r="N5" s="35"/>
      <c r="O5" s="35"/>
      <c r="P5" s="35"/>
      <c r="Q5" s="35"/>
      <c r="R5" s="35"/>
      <c r="S5" s="35"/>
      <c r="T5" s="35"/>
      <c r="U5" s="35"/>
      <c r="V5" s="35"/>
      <c r="W5" s="35"/>
      <c r="X5" s="35"/>
      <c r="Y5" s="35"/>
      <c r="Z5" s="35"/>
      <c r="AA5" s="35"/>
    </row>
    <row r="6" spans="1:28">
      <c r="B6" s="12">
        <v>1961</v>
      </c>
      <c r="C6" s="60"/>
      <c r="D6" s="60"/>
      <c r="E6" s="60"/>
      <c r="F6" s="60"/>
      <c r="G6" s="60"/>
      <c r="H6" s="60"/>
      <c r="I6" s="60"/>
      <c r="J6" s="60"/>
      <c r="K6" s="60"/>
      <c r="L6" s="60"/>
      <c r="M6" s="60"/>
      <c r="N6" s="60"/>
      <c r="O6" s="60"/>
      <c r="P6" s="60"/>
      <c r="Q6" s="60"/>
      <c r="R6" s="60"/>
      <c r="S6" s="60"/>
      <c r="T6" s="60"/>
      <c r="U6" s="60"/>
      <c r="V6" s="60"/>
      <c r="W6" s="60"/>
      <c r="X6" s="60"/>
      <c r="Y6" s="60"/>
      <c r="Z6" s="60"/>
      <c r="AA6" s="60"/>
    </row>
    <row r="7" spans="1:28">
      <c r="B7" s="12">
        <v>1962</v>
      </c>
      <c r="C7" s="58">
        <v>3999</v>
      </c>
      <c r="D7" s="58">
        <v>3915.8</v>
      </c>
      <c r="E7" s="58">
        <v>461.9</v>
      </c>
      <c r="F7" s="58">
        <v>0</v>
      </c>
      <c r="G7" s="58">
        <v>3453.8999999999996</v>
      </c>
      <c r="H7" s="58">
        <v>252.3</v>
      </c>
      <c r="I7" s="58">
        <v>0</v>
      </c>
      <c r="J7" s="58">
        <v>2984</v>
      </c>
      <c r="K7" s="58">
        <v>2663</v>
      </c>
      <c r="L7" s="58">
        <v>265</v>
      </c>
      <c r="M7" s="58">
        <v>16</v>
      </c>
      <c r="N7" s="58">
        <v>40</v>
      </c>
      <c r="O7" s="58">
        <v>16</v>
      </c>
      <c r="P7" s="58">
        <v>873</v>
      </c>
      <c r="Q7" s="58">
        <v>545</v>
      </c>
      <c r="R7" s="58">
        <v>54</v>
      </c>
      <c r="S7" s="58">
        <v>-417</v>
      </c>
      <c r="T7" s="58"/>
      <c r="U7" s="58"/>
      <c r="V7" s="58">
        <v>0</v>
      </c>
      <c r="W7" s="60">
        <v>24</v>
      </c>
      <c r="X7" s="58">
        <v>364</v>
      </c>
      <c r="Y7" s="58">
        <v>476</v>
      </c>
      <c r="Z7" s="60">
        <v>136</v>
      </c>
      <c r="AA7" s="58">
        <v>-1</v>
      </c>
    </row>
    <row r="8" spans="1:28">
      <c r="B8" s="12">
        <v>1963</v>
      </c>
      <c r="C8" s="58">
        <v>3966</v>
      </c>
      <c r="D8" s="58">
        <v>3658.8</v>
      </c>
      <c r="E8" s="58">
        <v>432</v>
      </c>
      <c r="F8" s="58">
        <v>0</v>
      </c>
      <c r="G8" s="58">
        <v>3226.8</v>
      </c>
      <c r="H8" s="58">
        <v>497.9</v>
      </c>
      <c r="I8" s="58">
        <v>0</v>
      </c>
      <c r="J8" s="58">
        <v>3628</v>
      </c>
      <c r="K8" s="58">
        <v>3167</v>
      </c>
      <c r="L8" s="58">
        <v>385</v>
      </c>
      <c r="M8" s="58">
        <v>13</v>
      </c>
      <c r="N8" s="58">
        <v>63</v>
      </c>
      <c r="O8" s="58">
        <v>26</v>
      </c>
      <c r="P8" s="58">
        <v>723</v>
      </c>
      <c r="Q8" s="58">
        <v>614</v>
      </c>
      <c r="R8" s="58">
        <v>-467</v>
      </c>
      <c r="S8" s="58">
        <v>279</v>
      </c>
      <c r="T8" s="58">
        <f>+S8-S7</f>
        <v>696</v>
      </c>
      <c r="U8" s="58">
        <f>+T8-V8-W8+AA8</f>
        <v>581</v>
      </c>
      <c r="V8" s="58">
        <v>30</v>
      </c>
      <c r="W8" s="60">
        <v>22</v>
      </c>
      <c r="X8" s="58">
        <v>251</v>
      </c>
      <c r="Y8" s="58">
        <v>312</v>
      </c>
      <c r="Z8" s="60">
        <v>131</v>
      </c>
      <c r="AA8" s="58">
        <v>-63</v>
      </c>
    </row>
    <row r="9" spans="1:28">
      <c r="B9" s="12">
        <v>1964</v>
      </c>
      <c r="C9" s="58">
        <v>4176</v>
      </c>
      <c r="D9" s="58">
        <v>3832.1</v>
      </c>
      <c r="E9" s="58">
        <v>428.5</v>
      </c>
      <c r="F9" s="58">
        <v>0</v>
      </c>
      <c r="G9" s="58">
        <v>3403.5999999999995</v>
      </c>
      <c r="H9" s="58">
        <v>517.1</v>
      </c>
      <c r="I9" s="58">
        <v>0</v>
      </c>
      <c r="J9" s="58">
        <v>3951</v>
      </c>
      <c r="K9" s="58">
        <v>3431</v>
      </c>
      <c r="L9" s="58">
        <v>429</v>
      </c>
      <c r="M9" s="58">
        <v>19</v>
      </c>
      <c r="N9" s="58">
        <v>72</v>
      </c>
      <c r="O9" s="58">
        <v>4</v>
      </c>
      <c r="P9" s="58">
        <v>796</v>
      </c>
      <c r="Q9" s="58">
        <v>609</v>
      </c>
      <c r="R9" s="58">
        <v>-693</v>
      </c>
      <c r="S9" s="58">
        <v>552</v>
      </c>
      <c r="T9" s="58">
        <f t="shared" ref="T9:T59" si="0">+S9-S8</f>
        <v>273</v>
      </c>
      <c r="U9" s="58"/>
      <c r="V9" s="58">
        <v>702</v>
      </c>
      <c r="W9" s="60">
        <v>59</v>
      </c>
      <c r="X9" s="58">
        <v>205</v>
      </c>
      <c r="Y9" s="58">
        <v>345</v>
      </c>
      <c r="Z9" s="60">
        <v>140</v>
      </c>
      <c r="AA9" s="58">
        <v>-64</v>
      </c>
    </row>
    <row r="10" spans="1:28">
      <c r="B10" s="12">
        <v>1965</v>
      </c>
      <c r="C10" s="58">
        <v>5541</v>
      </c>
      <c r="D10" s="58">
        <v>5241.2</v>
      </c>
      <c r="E10" s="58">
        <v>515.20000000000005</v>
      </c>
      <c r="F10" s="58">
        <v>0</v>
      </c>
      <c r="G10" s="58">
        <v>4726</v>
      </c>
      <c r="H10" s="58">
        <v>548.20000000000005</v>
      </c>
      <c r="I10" s="58">
        <v>0</v>
      </c>
      <c r="J10" s="58">
        <v>4331</v>
      </c>
      <c r="K10" s="58">
        <v>3752</v>
      </c>
      <c r="L10" s="58">
        <v>482</v>
      </c>
      <c r="M10" s="58">
        <v>33</v>
      </c>
      <c r="N10" s="58">
        <v>64</v>
      </c>
      <c r="O10" s="58">
        <v>1</v>
      </c>
      <c r="P10" s="58">
        <v>706</v>
      </c>
      <c r="Q10" s="58">
        <v>485</v>
      </c>
      <c r="R10" s="58">
        <v>282</v>
      </c>
      <c r="S10" s="58">
        <v>-368</v>
      </c>
      <c r="T10" s="58">
        <f t="shared" si="0"/>
        <v>-920</v>
      </c>
      <c r="U10" s="58"/>
      <c r="V10" s="58">
        <v>424</v>
      </c>
      <c r="W10" s="60">
        <v>72</v>
      </c>
      <c r="X10" s="58">
        <v>149</v>
      </c>
      <c r="Y10" s="58">
        <v>239</v>
      </c>
      <c r="Z10" s="60">
        <v>112</v>
      </c>
      <c r="AA10" s="58">
        <v>-63</v>
      </c>
    </row>
    <row r="11" spans="1:28">
      <c r="B11" s="12">
        <v>1966</v>
      </c>
      <c r="C11" s="58">
        <v>5912</v>
      </c>
      <c r="D11" s="58">
        <v>5493.2</v>
      </c>
      <c r="E11" s="58">
        <v>613.5</v>
      </c>
      <c r="F11" s="58">
        <v>0</v>
      </c>
      <c r="G11" s="58">
        <v>4879.7</v>
      </c>
      <c r="H11" s="58">
        <v>679.8</v>
      </c>
      <c r="I11" s="58">
        <v>0</v>
      </c>
      <c r="J11" s="58">
        <v>4705</v>
      </c>
      <c r="K11" s="58">
        <v>4007</v>
      </c>
      <c r="L11" s="58">
        <v>620</v>
      </c>
      <c r="M11" s="58">
        <v>39</v>
      </c>
      <c r="N11" s="58">
        <v>39</v>
      </c>
      <c r="O11" s="58">
        <v>2</v>
      </c>
      <c r="P11" s="58">
        <v>1003</v>
      </c>
      <c r="Q11" s="58">
        <v>794</v>
      </c>
      <c r="R11" s="58">
        <v>-25</v>
      </c>
      <c r="S11" s="58">
        <v>-178</v>
      </c>
      <c r="T11" s="58">
        <f t="shared" si="0"/>
        <v>190</v>
      </c>
      <c r="U11" s="58"/>
      <c r="V11" s="58">
        <v>12</v>
      </c>
      <c r="W11" s="60">
        <v>85</v>
      </c>
      <c r="X11" s="58">
        <v>280</v>
      </c>
      <c r="Y11" s="58">
        <v>271</v>
      </c>
      <c r="Z11" s="60">
        <v>61</v>
      </c>
      <c r="AA11" s="58">
        <v>-75</v>
      </c>
    </row>
    <row r="12" spans="1:28">
      <c r="B12" s="12">
        <v>1967</v>
      </c>
      <c r="C12" s="58">
        <v>6381</v>
      </c>
      <c r="D12" s="58">
        <v>5832.9</v>
      </c>
      <c r="E12" s="58">
        <v>705.7</v>
      </c>
      <c r="F12" s="58">
        <v>0</v>
      </c>
      <c r="G12" s="58">
        <v>5127.1999999999989</v>
      </c>
      <c r="H12" s="58">
        <v>896.1</v>
      </c>
      <c r="I12" s="58">
        <v>0</v>
      </c>
      <c r="J12" s="58">
        <v>5377</v>
      </c>
      <c r="K12" s="58">
        <v>4479</v>
      </c>
      <c r="L12" s="58">
        <v>749</v>
      </c>
      <c r="M12" s="58">
        <v>44</v>
      </c>
      <c r="N12" s="58">
        <v>105</v>
      </c>
      <c r="O12" s="58">
        <v>11</v>
      </c>
      <c r="P12" s="58">
        <v>1349</v>
      </c>
      <c r="Q12" s="58">
        <v>1062</v>
      </c>
      <c r="R12" s="58">
        <v>-511</v>
      </c>
      <c r="S12" s="58">
        <v>50</v>
      </c>
      <c r="T12" s="58">
        <f t="shared" si="0"/>
        <v>228</v>
      </c>
      <c r="U12" s="58"/>
      <c r="V12" s="58">
        <v>238</v>
      </c>
      <c r="W12" s="60">
        <v>99</v>
      </c>
      <c r="X12" s="58">
        <v>368</v>
      </c>
      <c r="Y12" s="58">
        <v>598</v>
      </c>
      <c r="Z12" s="60">
        <v>230</v>
      </c>
      <c r="AA12" s="58">
        <v>95</v>
      </c>
    </row>
    <row r="13" spans="1:28">
      <c r="B13" s="12">
        <v>1968</v>
      </c>
      <c r="C13" s="58">
        <v>6737</v>
      </c>
      <c r="D13" s="58">
        <v>6295.1</v>
      </c>
      <c r="E13" s="58">
        <v>728.5</v>
      </c>
      <c r="F13" s="58">
        <v>0</v>
      </c>
      <c r="G13" s="58">
        <v>5567.3</v>
      </c>
      <c r="H13" s="58">
        <v>966.9</v>
      </c>
      <c r="I13" s="58">
        <v>0</v>
      </c>
      <c r="J13" s="58">
        <v>5910</v>
      </c>
      <c r="K13" s="58">
        <v>5032</v>
      </c>
      <c r="L13" s="58">
        <v>794</v>
      </c>
      <c r="M13" s="58">
        <v>43</v>
      </c>
      <c r="N13" s="58">
        <v>41</v>
      </c>
      <c r="O13" s="58">
        <v>3</v>
      </c>
      <c r="P13" s="58">
        <v>1720</v>
      </c>
      <c r="Q13" s="58">
        <v>1372</v>
      </c>
      <c r="R13" s="58">
        <v>-1360</v>
      </c>
      <c r="S13" s="58">
        <v>219</v>
      </c>
      <c r="T13" s="58">
        <f t="shared" si="0"/>
        <v>169</v>
      </c>
      <c r="U13" s="58"/>
      <c r="V13" s="58">
        <v>390</v>
      </c>
      <c r="W13" s="60">
        <v>106</v>
      </c>
      <c r="X13" s="58">
        <v>883</v>
      </c>
      <c r="Y13" s="58">
        <v>1005</v>
      </c>
      <c r="Z13" s="60">
        <v>122</v>
      </c>
      <c r="AA13" s="58">
        <v>258</v>
      </c>
    </row>
    <row r="14" spans="1:28">
      <c r="B14" s="12">
        <v>1969</v>
      </c>
      <c r="C14" s="58">
        <v>7984.3</v>
      </c>
      <c r="D14" s="58">
        <v>7775.5</v>
      </c>
      <c r="E14" s="58">
        <v>1126.0999999999999</v>
      </c>
      <c r="F14" s="58">
        <v>0</v>
      </c>
      <c r="G14" s="58">
        <v>6649.4</v>
      </c>
      <c r="H14" s="58">
        <v>733</v>
      </c>
      <c r="I14" s="58">
        <v>0</v>
      </c>
      <c r="J14" s="58">
        <v>6526.7</v>
      </c>
      <c r="K14" s="58">
        <v>5186.6000000000004</v>
      </c>
      <c r="L14" s="58">
        <v>863.90000000000009</v>
      </c>
      <c r="M14" s="58">
        <v>47.8</v>
      </c>
      <c r="N14" s="58">
        <v>158.4</v>
      </c>
      <c r="O14" s="58">
        <v>0</v>
      </c>
      <c r="P14" s="58">
        <v>1445.6</v>
      </c>
      <c r="Q14" s="58">
        <v>1240</v>
      </c>
      <c r="R14" s="58">
        <v>21.9</v>
      </c>
      <c r="S14" s="58">
        <v>-651.79999999999995</v>
      </c>
      <c r="T14" s="58">
        <f t="shared" si="0"/>
        <v>-870.8</v>
      </c>
      <c r="U14" s="58"/>
      <c r="V14" s="58">
        <v>340</v>
      </c>
      <c r="W14" s="60">
        <v>163.1</v>
      </c>
      <c r="X14" s="58">
        <v>448.3</v>
      </c>
      <c r="Y14" s="58">
        <v>659.2</v>
      </c>
      <c r="Z14" s="60">
        <v>233.4</v>
      </c>
      <c r="AA14" s="58">
        <v>180.2</v>
      </c>
    </row>
    <row r="15" spans="1:28">
      <c r="B15" s="12">
        <v>1970</v>
      </c>
      <c r="C15" s="58">
        <v>8266</v>
      </c>
      <c r="D15" s="58">
        <v>7826</v>
      </c>
      <c r="E15" s="58">
        <v>1203.2</v>
      </c>
      <c r="F15" s="58">
        <v>0</v>
      </c>
      <c r="G15" s="58">
        <v>6622.7999999999993</v>
      </c>
      <c r="H15" s="58">
        <v>957.8</v>
      </c>
      <c r="I15" s="58">
        <v>0</v>
      </c>
      <c r="J15" s="58">
        <v>6851</v>
      </c>
      <c r="K15" s="58">
        <v>5655</v>
      </c>
      <c r="L15" s="58">
        <v>948</v>
      </c>
      <c r="M15" s="58">
        <v>47</v>
      </c>
      <c r="N15" s="58">
        <v>201</v>
      </c>
      <c r="O15" s="58">
        <v>6</v>
      </c>
      <c r="P15" s="58">
        <v>1125</v>
      </c>
      <c r="Q15" s="58">
        <v>907</v>
      </c>
      <c r="R15" s="58">
        <v>-82</v>
      </c>
      <c r="S15" s="58">
        <v>-103</v>
      </c>
      <c r="T15" s="58">
        <f t="shared" si="0"/>
        <v>548.79999999999995</v>
      </c>
      <c r="U15" s="58"/>
      <c r="V15" s="58">
        <v>62</v>
      </c>
      <c r="W15" s="60">
        <v>155</v>
      </c>
      <c r="X15" s="58">
        <v>284</v>
      </c>
      <c r="Y15" s="58">
        <v>281</v>
      </c>
      <c r="Z15" s="60">
        <v>281</v>
      </c>
      <c r="AA15" s="58">
        <v>-99</v>
      </c>
    </row>
    <row r="16" spans="1:28">
      <c r="B16" s="12">
        <v>1971</v>
      </c>
      <c r="C16" s="58">
        <v>8346</v>
      </c>
      <c r="D16" s="58">
        <v>7876.3</v>
      </c>
      <c r="E16" s="58">
        <v>1289</v>
      </c>
      <c r="F16" s="58">
        <v>0</v>
      </c>
      <c r="G16" s="58">
        <v>6587.2999999999993</v>
      </c>
      <c r="H16" s="58">
        <v>1032.5999999999999</v>
      </c>
      <c r="I16" s="58">
        <v>0</v>
      </c>
      <c r="J16" s="58">
        <v>7124</v>
      </c>
      <c r="K16" s="58">
        <v>5896</v>
      </c>
      <c r="L16" s="58">
        <v>992</v>
      </c>
      <c r="M16" s="58">
        <v>45</v>
      </c>
      <c r="N16" s="58">
        <v>187</v>
      </c>
      <c r="O16" s="58">
        <v>9</v>
      </c>
      <c r="P16" s="58">
        <v>1368</v>
      </c>
      <c r="Q16" s="58">
        <v>1090</v>
      </c>
      <c r="R16" s="58">
        <v>-429</v>
      </c>
      <c r="S16" s="58">
        <v>215</v>
      </c>
      <c r="T16" s="58">
        <f t="shared" si="0"/>
        <v>318</v>
      </c>
      <c r="U16" s="58"/>
      <c r="V16" s="58">
        <v>28</v>
      </c>
      <c r="W16" s="60">
        <v>141</v>
      </c>
      <c r="X16" s="58">
        <v>261</v>
      </c>
      <c r="Y16" s="58">
        <v>280</v>
      </c>
      <c r="Z16" s="60">
        <v>280</v>
      </c>
      <c r="AA16" s="58">
        <v>-47</v>
      </c>
    </row>
    <row r="17" spans="2:27">
      <c r="B17" s="12">
        <v>1972</v>
      </c>
      <c r="C17" s="58">
        <v>8950</v>
      </c>
      <c r="D17" s="58">
        <v>8017.9</v>
      </c>
      <c r="E17" s="58">
        <v>1405.4</v>
      </c>
      <c r="F17" s="58">
        <v>0</v>
      </c>
      <c r="G17" s="58">
        <v>6612.4999999999991</v>
      </c>
      <c r="H17" s="58">
        <v>1460.5</v>
      </c>
      <c r="I17" s="58">
        <v>0</v>
      </c>
      <c r="J17" s="58">
        <v>8118</v>
      </c>
      <c r="K17" s="58">
        <v>6664</v>
      </c>
      <c r="L17" s="58">
        <v>1087</v>
      </c>
      <c r="M17" s="58">
        <v>45</v>
      </c>
      <c r="N17" s="58">
        <v>522</v>
      </c>
      <c r="O17" s="58">
        <v>0</v>
      </c>
      <c r="P17" s="58">
        <v>1520</v>
      </c>
      <c r="Q17" s="58">
        <v>1297</v>
      </c>
      <c r="R17" s="58">
        <v>-968</v>
      </c>
      <c r="S17" s="58">
        <v>810</v>
      </c>
      <c r="T17" s="58">
        <f t="shared" si="0"/>
        <v>595</v>
      </c>
      <c r="U17" s="58"/>
      <c r="V17" s="58">
        <v>1012</v>
      </c>
      <c r="W17" s="60">
        <v>163</v>
      </c>
      <c r="X17" s="58">
        <v>289</v>
      </c>
      <c r="Y17" s="58">
        <v>488</v>
      </c>
      <c r="Z17" s="60">
        <v>407</v>
      </c>
      <c r="AA17" s="58">
        <v>-131</v>
      </c>
    </row>
    <row r="18" spans="2:27">
      <c r="B18" s="12">
        <v>1973</v>
      </c>
      <c r="C18" s="58">
        <v>11056</v>
      </c>
      <c r="D18" s="58">
        <v>10211.1</v>
      </c>
      <c r="E18" s="58">
        <v>1685</v>
      </c>
      <c r="F18" s="58">
        <v>0</v>
      </c>
      <c r="G18" s="58">
        <v>8526.1</v>
      </c>
      <c r="H18" s="58">
        <v>1378.8</v>
      </c>
      <c r="I18" s="58">
        <v>0</v>
      </c>
      <c r="J18" s="58">
        <v>8974</v>
      </c>
      <c r="K18" s="58">
        <v>7306</v>
      </c>
      <c r="L18" s="58">
        <v>1365</v>
      </c>
      <c r="M18" s="58">
        <v>56</v>
      </c>
      <c r="N18" s="58">
        <v>247</v>
      </c>
      <c r="O18" s="58">
        <v>0</v>
      </c>
      <c r="P18" s="58">
        <v>1580</v>
      </c>
      <c r="Q18" s="58">
        <v>1388</v>
      </c>
      <c r="R18" s="58">
        <v>136</v>
      </c>
      <c r="S18" s="58">
        <v>-284</v>
      </c>
      <c r="T18" s="58">
        <f t="shared" si="0"/>
        <v>-1094</v>
      </c>
      <c r="U18" s="58"/>
      <c r="V18" s="58">
        <v>0</v>
      </c>
      <c r="W18" s="60">
        <v>191</v>
      </c>
      <c r="X18" s="58">
        <v>302</v>
      </c>
      <c r="Y18" s="58">
        <v>538</v>
      </c>
      <c r="Z18" s="60">
        <v>379</v>
      </c>
      <c r="AA18" s="58">
        <v>-154</v>
      </c>
    </row>
    <row r="19" spans="2:27">
      <c r="B19" s="12">
        <v>1974</v>
      </c>
      <c r="C19" s="58">
        <v>15448</v>
      </c>
      <c r="D19" s="58">
        <v>14539.3</v>
      </c>
      <c r="E19" s="58">
        <v>2483.4</v>
      </c>
      <c r="F19" s="58">
        <v>0</v>
      </c>
      <c r="G19" s="58">
        <v>12055.9</v>
      </c>
      <c r="H19" s="58">
        <v>1723.4</v>
      </c>
      <c r="I19" s="58">
        <v>0</v>
      </c>
      <c r="J19" s="58">
        <v>11240</v>
      </c>
      <c r="K19" s="58">
        <v>9322</v>
      </c>
      <c r="L19" s="58">
        <v>1595</v>
      </c>
      <c r="M19" s="58">
        <v>51</v>
      </c>
      <c r="N19" s="58">
        <v>272</v>
      </c>
      <c r="O19" s="58">
        <v>0</v>
      </c>
      <c r="P19" s="58">
        <v>2143</v>
      </c>
      <c r="Q19" s="58">
        <v>1964</v>
      </c>
      <c r="R19" s="58">
        <v>1331</v>
      </c>
      <c r="S19" s="58">
        <v>-1438</v>
      </c>
      <c r="T19" s="58">
        <f t="shared" si="0"/>
        <v>-1154</v>
      </c>
      <c r="U19" s="58"/>
      <c r="V19" s="58">
        <v>0</v>
      </c>
      <c r="W19" s="60">
        <v>237</v>
      </c>
      <c r="X19" s="58">
        <v>313</v>
      </c>
      <c r="Y19" s="58">
        <v>660</v>
      </c>
      <c r="Z19" s="60">
        <v>421</v>
      </c>
      <c r="AA19" s="58">
        <v>-206</v>
      </c>
    </row>
    <row r="20" spans="2:27">
      <c r="B20" s="12">
        <v>1975</v>
      </c>
      <c r="C20" s="58">
        <v>16776</v>
      </c>
      <c r="D20" s="58">
        <v>15877</v>
      </c>
      <c r="E20" s="58">
        <v>3257.7</v>
      </c>
      <c r="F20" s="58">
        <v>0</v>
      </c>
      <c r="G20" s="58">
        <v>12619.3</v>
      </c>
      <c r="H20" s="58">
        <v>2016.6</v>
      </c>
      <c r="I20" s="58">
        <v>0</v>
      </c>
      <c r="J20" s="58">
        <v>13294.1</v>
      </c>
      <c r="K20" s="58">
        <v>10978.2</v>
      </c>
      <c r="L20" s="58">
        <v>1952.6999999999998</v>
      </c>
      <c r="M20" s="58">
        <v>55.1</v>
      </c>
      <c r="N20" s="58">
        <v>308.10000000000002</v>
      </c>
      <c r="O20" s="58">
        <v>2.1</v>
      </c>
      <c r="P20" s="58">
        <v>3716.3</v>
      </c>
      <c r="Q20" s="58">
        <v>3470.6</v>
      </c>
      <c r="R20" s="58">
        <v>-729.4</v>
      </c>
      <c r="S20" s="58">
        <v>-174.4</v>
      </c>
      <c r="T20" s="58">
        <f t="shared" si="0"/>
        <v>1263.5999999999999</v>
      </c>
      <c r="U20" s="58"/>
      <c r="V20" s="58">
        <v>0</v>
      </c>
      <c r="W20" s="60">
        <v>216.6</v>
      </c>
      <c r="X20" s="58">
        <v>1362.6</v>
      </c>
      <c r="Y20" s="58">
        <v>1800.3</v>
      </c>
      <c r="Z20" s="60">
        <v>446.7</v>
      </c>
      <c r="AA20" s="58">
        <v>-458.8</v>
      </c>
    </row>
    <row r="21" spans="2:27">
      <c r="B21" s="12">
        <v>1976</v>
      </c>
      <c r="C21" s="58">
        <v>18105.5</v>
      </c>
      <c r="D21" s="58">
        <v>16871</v>
      </c>
      <c r="E21" s="58">
        <v>3629</v>
      </c>
      <c r="F21" s="58">
        <v>0</v>
      </c>
      <c r="G21" s="58">
        <v>13242</v>
      </c>
      <c r="H21" s="58">
        <v>2373</v>
      </c>
      <c r="I21" s="58">
        <v>0</v>
      </c>
      <c r="J21" s="58">
        <v>14912.5</v>
      </c>
      <c r="K21" s="58">
        <v>12289.9</v>
      </c>
      <c r="L21" s="58">
        <v>2239.4</v>
      </c>
      <c r="M21" s="58">
        <v>60.1</v>
      </c>
      <c r="N21" s="58">
        <v>323.10000000000002</v>
      </c>
      <c r="O21" s="58">
        <v>26.2</v>
      </c>
      <c r="P21" s="58">
        <v>6928.9</v>
      </c>
      <c r="Q21" s="58">
        <v>5874.4</v>
      </c>
      <c r="R21" s="58">
        <v>-4273.2</v>
      </c>
      <c r="S21" s="58">
        <v>-35.700000000000003</v>
      </c>
      <c r="T21" s="58">
        <f t="shared" si="0"/>
        <v>138.69999999999999</v>
      </c>
      <c r="U21" s="58"/>
      <c r="V21" s="58">
        <v>0</v>
      </c>
      <c r="W21" s="60">
        <v>191.6</v>
      </c>
      <c r="X21" s="58">
        <v>4397.8999999999996</v>
      </c>
      <c r="Y21" s="58">
        <v>4827.3999999999996</v>
      </c>
      <c r="Z21" s="60">
        <v>429.5</v>
      </c>
      <c r="AA21" s="58">
        <v>-89</v>
      </c>
    </row>
    <row r="22" spans="2:27">
      <c r="B22" s="12">
        <v>1977</v>
      </c>
      <c r="C22" s="58">
        <v>25143.8</v>
      </c>
      <c r="D22" s="58">
        <v>23491.5</v>
      </c>
      <c r="E22" s="58">
        <v>5055.6000000000004</v>
      </c>
      <c r="F22" s="58">
        <v>0</v>
      </c>
      <c r="G22" s="58">
        <v>18435.899999999998</v>
      </c>
      <c r="H22" s="58">
        <v>2887.2</v>
      </c>
      <c r="I22" s="58">
        <v>0</v>
      </c>
      <c r="J22" s="58">
        <v>17318.2</v>
      </c>
      <c r="K22" s="58">
        <v>13977.4</v>
      </c>
      <c r="L22" s="58">
        <v>2649.7</v>
      </c>
      <c r="M22" s="58">
        <v>53</v>
      </c>
      <c r="N22" s="58">
        <v>638.1</v>
      </c>
      <c r="O22" s="58">
        <v>0</v>
      </c>
      <c r="P22" s="58">
        <v>6477.8</v>
      </c>
      <c r="Q22" s="58">
        <v>6051.2</v>
      </c>
      <c r="R22" s="58">
        <v>579.29999999999995</v>
      </c>
      <c r="S22" s="58">
        <v>-516.6</v>
      </c>
      <c r="T22" s="58">
        <f t="shared" si="0"/>
        <v>-480.90000000000003</v>
      </c>
      <c r="U22" s="58"/>
      <c r="V22" s="58">
        <v>0</v>
      </c>
      <c r="W22" s="60">
        <v>189.7</v>
      </c>
      <c r="X22" s="58">
        <v>2526.1</v>
      </c>
      <c r="Y22" s="58">
        <v>3389.5</v>
      </c>
      <c r="Z22" s="60">
        <v>882.4</v>
      </c>
      <c r="AA22" s="58">
        <v>-2588.8000000000002</v>
      </c>
    </row>
    <row r="23" spans="2:27">
      <c r="B23" s="12">
        <v>1978</v>
      </c>
      <c r="C23" s="58">
        <v>32841.5</v>
      </c>
      <c r="D23" s="58">
        <v>30333.7</v>
      </c>
      <c r="E23" s="58">
        <v>7487.1</v>
      </c>
      <c r="F23" s="58">
        <v>0</v>
      </c>
      <c r="G23" s="58">
        <v>22846.6</v>
      </c>
      <c r="H23" s="58">
        <v>3999.2</v>
      </c>
      <c r="I23" s="58">
        <v>0</v>
      </c>
      <c r="J23" s="58">
        <v>20124.8</v>
      </c>
      <c r="K23" s="58">
        <v>16306</v>
      </c>
      <c r="L23" s="58">
        <v>2966.8</v>
      </c>
      <c r="M23" s="58">
        <v>56.8</v>
      </c>
      <c r="N23" s="58">
        <v>795.2</v>
      </c>
      <c r="O23" s="58">
        <v>0</v>
      </c>
      <c r="P23" s="58">
        <v>11588.3</v>
      </c>
      <c r="Q23" s="58">
        <v>9981.2999999999993</v>
      </c>
      <c r="R23" s="58">
        <v>162.9</v>
      </c>
      <c r="S23" s="58">
        <v>-262.5</v>
      </c>
      <c r="T23" s="58">
        <f t="shared" si="0"/>
        <v>254.10000000000002</v>
      </c>
      <c r="U23" s="58"/>
      <c r="V23" s="58">
        <v>0</v>
      </c>
      <c r="W23" s="60">
        <v>407.3</v>
      </c>
      <c r="X23" s="58">
        <v>4061.8</v>
      </c>
      <c r="Y23" s="58">
        <v>4769</v>
      </c>
      <c r="Z23" s="60">
        <v>1029</v>
      </c>
      <c r="AA23" s="58">
        <v>-3962.2</v>
      </c>
    </row>
    <row r="24" spans="2:27" s="75" customFormat="1">
      <c r="B24" s="65">
        <v>1979</v>
      </c>
      <c r="C24" s="73">
        <v>48651</v>
      </c>
      <c r="D24" s="73">
        <v>35236</v>
      </c>
      <c r="E24" s="73">
        <v>6493</v>
      </c>
      <c r="F24" s="73">
        <v>0</v>
      </c>
      <c r="G24" s="73">
        <v>28743</v>
      </c>
      <c r="H24" s="73">
        <v>1292</v>
      </c>
      <c r="I24" s="73">
        <v>0</v>
      </c>
      <c r="J24" s="73">
        <v>43851</v>
      </c>
      <c r="K24" s="73">
        <v>20000</v>
      </c>
      <c r="L24" s="73">
        <v>6000</v>
      </c>
      <c r="M24" s="73"/>
      <c r="N24" s="73"/>
      <c r="O24" s="73"/>
      <c r="P24" s="73"/>
      <c r="Q24" s="73"/>
      <c r="R24" s="73"/>
      <c r="S24" s="73"/>
      <c r="T24" s="58">
        <f t="shared" si="0"/>
        <v>262.5</v>
      </c>
      <c r="U24" s="58"/>
      <c r="V24" s="73"/>
      <c r="W24" s="73"/>
      <c r="X24" s="73"/>
      <c r="Y24" s="73"/>
      <c r="Z24" s="73"/>
      <c r="AA24" s="74"/>
    </row>
    <row r="25" spans="2:27">
      <c r="B25" s="12">
        <v>1980</v>
      </c>
      <c r="C25" s="58">
        <v>51637.666999999994</v>
      </c>
      <c r="D25" s="58">
        <v>46996.267</v>
      </c>
      <c r="E25" s="58">
        <v>8932.2999999999993</v>
      </c>
      <c r="F25" s="58">
        <v>0</v>
      </c>
      <c r="G25" s="58">
        <v>38063.967000000004</v>
      </c>
      <c r="H25" s="58">
        <v>3977.7</v>
      </c>
      <c r="I25" s="58">
        <v>0</v>
      </c>
      <c r="J25" s="58">
        <v>38221.800000000003</v>
      </c>
      <c r="K25" s="58">
        <f t="shared" ref="K25:K59" si="1">M25+N25</f>
        <v>1731</v>
      </c>
      <c r="L25" s="58">
        <v>7796.7</v>
      </c>
      <c r="M25" s="58">
        <v>58.9</v>
      </c>
      <c r="N25" s="58">
        <v>1672.1</v>
      </c>
      <c r="O25" s="58">
        <v>2.5</v>
      </c>
      <c r="P25" s="58">
        <v>13231.2</v>
      </c>
      <c r="Q25" s="58">
        <v>10846.1</v>
      </c>
      <c r="R25" s="58">
        <v>-1524.0330000000031</v>
      </c>
      <c r="S25" s="58">
        <v>-1235.5</v>
      </c>
      <c r="T25" s="58">
        <f t="shared" si="0"/>
        <v>-1235.5</v>
      </c>
      <c r="U25" s="58"/>
      <c r="V25" s="58">
        <v>0</v>
      </c>
      <c r="W25" s="58">
        <v>0</v>
      </c>
      <c r="X25" s="58">
        <v>12114</v>
      </c>
      <c r="Y25" s="58">
        <v>13669.7</v>
      </c>
      <c r="Z25" s="58">
        <v>1555.7</v>
      </c>
      <c r="AA25" s="58">
        <v>0</v>
      </c>
    </row>
    <row r="26" spans="2:27">
      <c r="B26" s="12">
        <v>1981</v>
      </c>
      <c r="C26" s="58">
        <v>59346.9</v>
      </c>
      <c r="D26" s="58">
        <v>52960.3</v>
      </c>
      <c r="E26" s="58">
        <v>11187</v>
      </c>
      <c r="F26" s="58">
        <v>0</v>
      </c>
      <c r="G26" s="58">
        <v>41773.299999999996</v>
      </c>
      <c r="H26" s="58">
        <v>5361.6</v>
      </c>
      <c r="I26" s="58">
        <v>0</v>
      </c>
      <c r="J26" s="58">
        <v>53033.8</v>
      </c>
      <c r="K26" s="58">
        <f t="shared" si="1"/>
        <v>2090.1</v>
      </c>
      <c r="L26" s="58">
        <v>10626.8</v>
      </c>
      <c r="M26" s="58">
        <v>106.6</v>
      </c>
      <c r="N26" s="58">
        <v>1983.5</v>
      </c>
      <c r="O26" s="58">
        <v>11.9</v>
      </c>
      <c r="P26" s="58">
        <v>17313.8</v>
      </c>
      <c r="Q26" s="58">
        <v>14901.9</v>
      </c>
      <c r="R26" s="58">
        <v>-17371.2</v>
      </c>
      <c r="S26" s="58">
        <v>1033.4000000000001</v>
      </c>
      <c r="T26" s="58">
        <f t="shared" si="0"/>
        <v>2268.9</v>
      </c>
      <c r="U26" s="58"/>
      <c r="V26" s="58">
        <v>0</v>
      </c>
      <c r="W26" s="58">
        <v>0</v>
      </c>
      <c r="X26" s="58">
        <v>5029</v>
      </c>
      <c r="Y26" s="58">
        <v>7500.9</v>
      </c>
      <c r="Z26" s="58">
        <v>2471.9</v>
      </c>
      <c r="AA26" s="58">
        <v>0</v>
      </c>
    </row>
    <row r="27" spans="2:27">
      <c r="B27" s="12">
        <v>1982</v>
      </c>
      <c r="C27" s="58">
        <v>68465.100000000006</v>
      </c>
      <c r="D27" s="58">
        <v>60151.6</v>
      </c>
      <c r="E27" s="58">
        <v>12581.7</v>
      </c>
      <c r="F27" s="58">
        <v>0</v>
      </c>
      <c r="G27" s="58">
        <v>47569.9</v>
      </c>
      <c r="H27" s="58">
        <v>7311.4</v>
      </c>
      <c r="I27" s="58">
        <v>0</v>
      </c>
      <c r="J27" s="58">
        <v>64635.3</v>
      </c>
      <c r="K27" s="58">
        <f t="shared" si="1"/>
        <v>2367.7999999999997</v>
      </c>
      <c r="L27" s="58">
        <v>19720.900000000001</v>
      </c>
      <c r="M27" s="58">
        <v>85.6</v>
      </c>
      <c r="N27" s="58">
        <v>2282.1999999999998</v>
      </c>
      <c r="O27" s="58">
        <v>7.7</v>
      </c>
      <c r="P27" s="58">
        <v>16196.1</v>
      </c>
      <c r="Q27" s="58">
        <v>14081</v>
      </c>
      <c r="R27" s="58">
        <v>-6046.0999999999913</v>
      </c>
      <c r="S27" s="58">
        <v>5323.1</v>
      </c>
      <c r="T27" s="58">
        <f t="shared" si="0"/>
        <v>4289.7000000000007</v>
      </c>
      <c r="U27" s="58"/>
      <c r="V27" s="58">
        <v>0</v>
      </c>
      <c r="W27" s="58">
        <v>0</v>
      </c>
      <c r="X27" s="58">
        <v>2485</v>
      </c>
      <c r="Y27" s="58">
        <v>5098.3</v>
      </c>
      <c r="Z27" s="58">
        <v>2613.3000000000002</v>
      </c>
      <c r="AA27" s="58">
        <v>0</v>
      </c>
    </row>
    <row r="28" spans="2:27">
      <c r="B28" s="12">
        <v>1983</v>
      </c>
      <c r="C28" s="58">
        <v>65592.600000000006</v>
      </c>
      <c r="D28" s="58">
        <v>52294.6</v>
      </c>
      <c r="E28" s="58">
        <v>9688.7000000000007</v>
      </c>
      <c r="F28" s="58">
        <v>0</v>
      </c>
      <c r="G28" s="58">
        <v>42605.9</v>
      </c>
      <c r="H28" s="58">
        <v>12247.7</v>
      </c>
      <c r="I28" s="58">
        <v>0</v>
      </c>
      <c r="J28" s="58">
        <v>74121</v>
      </c>
      <c r="K28" s="58">
        <f t="shared" si="1"/>
        <v>2728.9</v>
      </c>
      <c r="L28" s="58">
        <v>22652.1</v>
      </c>
      <c r="M28" s="58">
        <v>71.099999999999994</v>
      </c>
      <c r="N28" s="58">
        <v>2657.8</v>
      </c>
      <c r="O28" s="58">
        <v>2</v>
      </c>
      <c r="P28" s="58">
        <v>19978.900000000001</v>
      </c>
      <c r="Q28" s="58">
        <v>17856.400000000001</v>
      </c>
      <c r="R28" s="58">
        <v>-30492.1</v>
      </c>
      <c r="S28" s="58">
        <v>38158.9</v>
      </c>
      <c r="T28" s="58">
        <f t="shared" si="0"/>
        <v>32835.800000000003</v>
      </c>
      <c r="U28" s="58"/>
      <c r="V28" s="58">
        <v>0</v>
      </c>
      <c r="W28" s="58">
        <v>0</v>
      </c>
      <c r="X28" s="58">
        <v>9031.1</v>
      </c>
      <c r="Y28" s="58">
        <v>12052</v>
      </c>
      <c r="Z28" s="58">
        <v>3020.9</v>
      </c>
      <c r="AA28" s="58">
        <v>0</v>
      </c>
    </row>
    <row r="29" spans="2:27">
      <c r="B29" s="12">
        <v>1984</v>
      </c>
      <c r="C29" s="58">
        <v>85463.3</v>
      </c>
      <c r="D29" s="58">
        <v>70614</v>
      </c>
      <c r="E29" s="58">
        <v>10215</v>
      </c>
      <c r="F29" s="58">
        <v>0</v>
      </c>
      <c r="G29" s="58">
        <v>60399</v>
      </c>
      <c r="H29" s="58">
        <v>13677.5</v>
      </c>
      <c r="I29" s="58">
        <v>0</v>
      </c>
      <c r="J29" s="58">
        <v>80432.600000000006</v>
      </c>
      <c r="K29" s="58">
        <f t="shared" si="1"/>
        <v>4886.7</v>
      </c>
      <c r="L29" s="58">
        <v>24010.799999999999</v>
      </c>
      <c r="M29" s="58">
        <v>988.1</v>
      </c>
      <c r="N29" s="58">
        <v>3898.6</v>
      </c>
      <c r="O29" s="58">
        <v>17</v>
      </c>
      <c r="P29" s="58">
        <v>30453.9</v>
      </c>
      <c r="Q29" s="58">
        <v>29215.599999999999</v>
      </c>
      <c r="R29" s="58">
        <v>-30176.6</v>
      </c>
      <c r="S29" s="58">
        <v>13300</v>
      </c>
      <c r="T29" s="58">
        <f t="shared" si="0"/>
        <v>-24858.9</v>
      </c>
      <c r="U29" s="58"/>
      <c r="V29" s="58">
        <v>0</v>
      </c>
      <c r="W29" s="58">
        <v>0</v>
      </c>
      <c r="X29" s="58">
        <v>18080.900000000001</v>
      </c>
      <c r="Y29" s="58">
        <v>22111.7</v>
      </c>
      <c r="Z29" s="58">
        <v>4030.8</v>
      </c>
      <c r="AA29" s="58">
        <v>0</v>
      </c>
    </row>
    <row r="30" spans="2:27">
      <c r="B30" s="12">
        <v>1985</v>
      </c>
      <c r="C30" s="58">
        <v>110542.36</v>
      </c>
      <c r="D30" s="58">
        <v>95622.06</v>
      </c>
      <c r="E30" s="58">
        <v>15803</v>
      </c>
      <c r="F30" s="58">
        <v>0</v>
      </c>
      <c r="G30" s="58">
        <v>79819.06</v>
      </c>
      <c r="H30" s="58">
        <v>13262.6</v>
      </c>
      <c r="I30" s="58">
        <v>0</v>
      </c>
      <c r="J30" s="58">
        <v>97571</v>
      </c>
      <c r="K30" s="58">
        <f t="shared" si="1"/>
        <v>6747</v>
      </c>
      <c r="L30" s="58">
        <v>27543.8</v>
      </c>
      <c r="M30" s="58">
        <v>908.4</v>
      </c>
      <c r="N30" s="58">
        <v>5838.6</v>
      </c>
      <c r="O30" s="58">
        <v>11</v>
      </c>
      <c r="P30" s="58">
        <v>30486.799999999999</v>
      </c>
      <c r="Q30" s="58">
        <v>29727.3</v>
      </c>
      <c r="R30" s="58">
        <v>-20900.14</v>
      </c>
      <c r="S30" s="58">
        <v>17546.2</v>
      </c>
      <c r="T30" s="58">
        <f t="shared" si="0"/>
        <v>4246.2000000000007</v>
      </c>
      <c r="U30" s="58"/>
      <c r="V30" s="58">
        <v>0</v>
      </c>
      <c r="W30" s="58">
        <v>0</v>
      </c>
      <c r="X30" s="58">
        <v>14706.9</v>
      </c>
      <c r="Y30" s="58">
        <v>20149.2</v>
      </c>
      <c r="Z30" s="58">
        <v>5442.3</v>
      </c>
      <c r="AA30" s="58">
        <v>0</v>
      </c>
    </row>
    <row r="31" spans="2:27">
      <c r="B31" s="12">
        <v>1986</v>
      </c>
      <c r="C31" s="58">
        <v>143348.5</v>
      </c>
      <c r="D31" s="58">
        <v>123820</v>
      </c>
      <c r="E31" s="58">
        <v>20734.400000000001</v>
      </c>
      <c r="F31" s="58">
        <v>0</v>
      </c>
      <c r="G31" s="58">
        <v>103085.59999999999</v>
      </c>
      <c r="H31" s="58">
        <v>17916.599999999999</v>
      </c>
      <c r="I31" s="58">
        <v>0</v>
      </c>
      <c r="J31" s="58">
        <v>119673.3</v>
      </c>
      <c r="K31" s="58">
        <f t="shared" si="1"/>
        <v>9679.1</v>
      </c>
      <c r="L31" s="58">
        <v>28771.1</v>
      </c>
      <c r="M31" s="58">
        <v>783.7</v>
      </c>
      <c r="N31" s="58">
        <v>8895.4</v>
      </c>
      <c r="O31" s="58">
        <v>27</v>
      </c>
      <c r="P31" s="58">
        <v>10821</v>
      </c>
      <c r="Q31" s="58">
        <v>10733.5</v>
      </c>
      <c r="R31" s="58">
        <v>11099.6</v>
      </c>
      <c r="S31" s="58">
        <v>7887.2999999999884</v>
      </c>
      <c r="T31" s="58">
        <f t="shared" si="0"/>
        <v>-9658.9000000000124</v>
      </c>
      <c r="U31" s="58"/>
      <c r="V31" s="58">
        <v>0</v>
      </c>
      <c r="W31" s="58">
        <v>0</v>
      </c>
      <c r="X31" s="58">
        <v>4107.6000000000004</v>
      </c>
      <c r="Y31" s="58">
        <v>12509.9</v>
      </c>
      <c r="Z31" s="58">
        <v>8402.2999999999993</v>
      </c>
      <c r="AA31" s="58">
        <v>0</v>
      </c>
    </row>
    <row r="32" spans="2:27">
      <c r="B32" s="12">
        <v>1987</v>
      </c>
      <c r="C32" s="58">
        <v>202670.31</v>
      </c>
      <c r="D32" s="58">
        <v>176625.5</v>
      </c>
      <c r="E32" s="58">
        <v>34846.6</v>
      </c>
      <c r="F32" s="58">
        <v>0</v>
      </c>
      <c r="G32" s="58">
        <v>141778.9</v>
      </c>
      <c r="H32" s="58">
        <v>23499.31</v>
      </c>
      <c r="I32" s="58">
        <v>0</v>
      </c>
      <c r="J32" s="58">
        <v>164738.1</v>
      </c>
      <c r="K32" s="58">
        <f t="shared" si="1"/>
        <v>19873.7</v>
      </c>
      <c r="L32" s="58">
        <v>36417</v>
      </c>
      <c r="M32" s="58">
        <v>681.9</v>
      </c>
      <c r="N32" s="58">
        <v>19191.8</v>
      </c>
      <c r="O32" s="58">
        <v>60.6</v>
      </c>
      <c r="P32" s="58">
        <v>22105.5</v>
      </c>
      <c r="Q32" s="58">
        <v>21340.5</v>
      </c>
      <c r="R32" s="58">
        <v>16858.009999999998</v>
      </c>
      <c r="S32" s="58">
        <v>13682.2</v>
      </c>
      <c r="T32" s="58">
        <f t="shared" si="0"/>
        <v>5794.9000000000124</v>
      </c>
      <c r="U32" s="58"/>
      <c r="V32" s="58">
        <v>0</v>
      </c>
      <c r="W32" s="58">
        <v>0</v>
      </c>
      <c r="X32" s="58">
        <v>2818.0999999999949</v>
      </c>
      <c r="Y32" s="58">
        <v>21943.8</v>
      </c>
      <c r="Z32" s="58">
        <v>19125.7</v>
      </c>
      <c r="AA32" s="58">
        <v>0</v>
      </c>
    </row>
    <row r="33" spans="2:27">
      <c r="B33" s="12">
        <v>1988</v>
      </c>
      <c r="C33" s="58">
        <v>264783.2</v>
      </c>
      <c r="D33" s="58">
        <v>229233.5</v>
      </c>
      <c r="E33" s="58">
        <v>41463.699999999997</v>
      </c>
      <c r="F33" s="58">
        <v>0</v>
      </c>
      <c r="G33" s="58">
        <v>187769.80000000002</v>
      </c>
      <c r="H33" s="58">
        <v>29995.200000000001</v>
      </c>
      <c r="I33" s="58">
        <v>0</v>
      </c>
      <c r="J33" s="58">
        <v>196657.3</v>
      </c>
      <c r="K33" s="58">
        <f t="shared" si="1"/>
        <v>23720.400000000001</v>
      </c>
      <c r="L33" s="58">
        <v>43333.4</v>
      </c>
      <c r="M33" s="58">
        <v>580.4</v>
      </c>
      <c r="N33" s="58">
        <v>23140</v>
      </c>
      <c r="O33" s="58">
        <v>84.1</v>
      </c>
      <c r="P33" s="58">
        <v>42913.3</v>
      </c>
      <c r="Q33" s="58">
        <v>40117.4</v>
      </c>
      <c r="R33" s="58">
        <v>26470.5</v>
      </c>
      <c r="S33" s="58">
        <v>17789.099999999999</v>
      </c>
      <c r="T33" s="58">
        <f t="shared" si="0"/>
        <v>4106.8999999999978</v>
      </c>
      <c r="U33" s="58"/>
      <c r="V33" s="58">
        <v>0</v>
      </c>
      <c r="W33" s="58">
        <v>0</v>
      </c>
      <c r="X33" s="58">
        <v>-6491.3</v>
      </c>
      <c r="Y33" s="58">
        <v>20049.8</v>
      </c>
      <c r="Z33" s="58">
        <v>26541.1</v>
      </c>
      <c r="AA33" s="58">
        <v>0</v>
      </c>
    </row>
    <row r="34" spans="2:27">
      <c r="B34" s="12">
        <v>1989</v>
      </c>
      <c r="C34" s="58">
        <v>525877.80000000005</v>
      </c>
      <c r="D34" s="58">
        <v>401492.4</v>
      </c>
      <c r="E34" s="58">
        <v>57154.9</v>
      </c>
      <c r="F34" s="58">
        <v>0</v>
      </c>
      <c r="G34" s="58">
        <v>344337.5</v>
      </c>
      <c r="H34" s="58">
        <v>114400.8</v>
      </c>
      <c r="I34" s="58">
        <v>61829.9</v>
      </c>
      <c r="J34" s="58">
        <v>359184.4</v>
      </c>
      <c r="K34" s="58">
        <f t="shared" si="1"/>
        <v>38690.699999999997</v>
      </c>
      <c r="L34" s="58">
        <v>91910.8</v>
      </c>
      <c r="M34" s="58">
        <v>478.2</v>
      </c>
      <c r="N34" s="58">
        <v>38212.5</v>
      </c>
      <c r="O34" s="58">
        <v>196.9</v>
      </c>
      <c r="P34" s="58">
        <v>50724</v>
      </c>
      <c r="Q34" s="58">
        <v>44451.4</v>
      </c>
      <c r="R34" s="58">
        <v>117765.2</v>
      </c>
      <c r="S34" s="58">
        <v>57527.4</v>
      </c>
      <c r="T34" s="58">
        <f t="shared" si="0"/>
        <v>39738.300000000003</v>
      </c>
      <c r="U34" s="58"/>
      <c r="V34" s="58">
        <v>0</v>
      </c>
      <c r="W34" s="58">
        <v>0</v>
      </c>
      <c r="X34" s="58">
        <v>-6245.6000000000058</v>
      </c>
      <c r="Y34" s="58">
        <v>32541.1</v>
      </c>
      <c r="Z34" s="58">
        <v>38786.699999999997</v>
      </c>
      <c r="AA34" s="58">
        <v>0</v>
      </c>
    </row>
    <row r="35" spans="2:27">
      <c r="B35" s="12">
        <v>1990</v>
      </c>
      <c r="C35" s="58">
        <v>801863</v>
      </c>
      <c r="D35" s="58">
        <v>579139</v>
      </c>
      <c r="E35" s="58">
        <v>73726</v>
      </c>
      <c r="F35" s="58">
        <v>0</v>
      </c>
      <c r="G35" s="58">
        <v>505413</v>
      </c>
      <c r="H35" s="58">
        <v>204805</v>
      </c>
      <c r="I35" s="58">
        <v>139348</v>
      </c>
      <c r="J35" s="58">
        <v>538056.4</v>
      </c>
      <c r="K35" s="58">
        <f t="shared" si="1"/>
        <v>98653</v>
      </c>
      <c r="L35" s="58">
        <v>116475</v>
      </c>
      <c r="M35" s="58">
        <v>382</v>
      </c>
      <c r="N35" s="58">
        <v>98271</v>
      </c>
      <c r="O35" s="58">
        <v>0</v>
      </c>
      <c r="P35" s="58">
        <v>66450</v>
      </c>
      <c r="Q35" s="58">
        <v>64259</v>
      </c>
      <c r="R35" s="58">
        <v>200595.6</v>
      </c>
      <c r="S35" s="58">
        <v>146338.4</v>
      </c>
      <c r="T35" s="58">
        <f t="shared" si="0"/>
        <v>88811</v>
      </c>
      <c r="U35" s="58"/>
      <c r="V35" s="58">
        <v>0</v>
      </c>
      <c r="W35" s="58">
        <v>0</v>
      </c>
      <c r="X35" s="58">
        <v>-55094</v>
      </c>
      <c r="Y35" s="58">
        <v>27080</v>
      </c>
      <c r="Z35" s="58">
        <v>82174</v>
      </c>
      <c r="AA35" s="58">
        <v>0</v>
      </c>
    </row>
    <row r="36" spans="2:27">
      <c r="B36" s="12">
        <v>1991</v>
      </c>
      <c r="C36" s="58">
        <v>979510.4</v>
      </c>
      <c r="D36" s="58">
        <v>718023.8</v>
      </c>
      <c r="E36" s="58">
        <v>94174.3</v>
      </c>
      <c r="F36" s="58">
        <v>0</v>
      </c>
      <c r="G36" s="58">
        <v>623849.5</v>
      </c>
      <c r="H36" s="58">
        <v>238258.8</v>
      </c>
      <c r="I36" s="58">
        <v>137193.29999999999</v>
      </c>
      <c r="J36" s="58">
        <v>778310.7</v>
      </c>
      <c r="K36" s="58">
        <f t="shared" si="1"/>
        <v>74686</v>
      </c>
      <c r="L36" s="58">
        <v>200021.9</v>
      </c>
      <c r="M36" s="58">
        <v>399.4</v>
      </c>
      <c r="N36" s="58">
        <v>74286.600000000006</v>
      </c>
      <c r="O36" s="58">
        <v>1717.5</v>
      </c>
      <c r="P36" s="58">
        <v>211281.6</v>
      </c>
      <c r="Q36" s="58">
        <v>118379.4</v>
      </c>
      <c r="R36" s="58">
        <v>-3503.9999999997672</v>
      </c>
      <c r="S36" s="58">
        <v>475600.7</v>
      </c>
      <c r="T36" s="58">
        <f t="shared" si="0"/>
        <v>329262.30000000005</v>
      </c>
      <c r="U36" s="58"/>
      <c r="V36" s="58">
        <v>0</v>
      </c>
      <c r="W36" s="58">
        <v>0</v>
      </c>
      <c r="X36" s="58">
        <v>10542.8</v>
      </c>
      <c r="Y36" s="58">
        <v>107560.3</v>
      </c>
      <c r="Z36" s="58">
        <v>97017.5</v>
      </c>
      <c r="AA36" s="58">
        <v>0</v>
      </c>
    </row>
    <row r="37" spans="2:27">
      <c r="B37" s="12">
        <v>1992</v>
      </c>
      <c r="C37" s="58">
        <v>1292761.25</v>
      </c>
      <c r="D37" s="58">
        <v>840484.5</v>
      </c>
      <c r="E37" s="58">
        <v>132264.29999999999</v>
      </c>
      <c r="F37" s="58">
        <v>130002.6</v>
      </c>
      <c r="G37" s="58">
        <v>578217.60000000009</v>
      </c>
      <c r="H37" s="58">
        <v>432982.45</v>
      </c>
      <c r="I37" s="58">
        <v>178226.1</v>
      </c>
      <c r="J37" s="58">
        <v>1092925.2</v>
      </c>
      <c r="K37" s="58">
        <f t="shared" si="1"/>
        <v>88373.1</v>
      </c>
      <c r="L37" s="58">
        <v>322318.2</v>
      </c>
      <c r="M37" s="58">
        <v>175.6</v>
      </c>
      <c r="N37" s="58">
        <v>88197.5</v>
      </c>
      <c r="O37" s="58">
        <v>979.6</v>
      </c>
      <c r="P37" s="58">
        <v>230057.2</v>
      </c>
      <c r="Q37" s="58">
        <v>131447.79999999999</v>
      </c>
      <c r="R37" s="58">
        <v>-36380.149999999674</v>
      </c>
      <c r="S37" s="58">
        <v>11186.699999999906</v>
      </c>
      <c r="T37" s="58">
        <f t="shared" si="0"/>
        <v>-464414.00000000012</v>
      </c>
      <c r="U37" s="58"/>
      <c r="V37" s="58">
        <v>0</v>
      </c>
      <c r="W37" s="58">
        <v>0</v>
      </c>
      <c r="X37" s="58">
        <v>20276.900000000001</v>
      </c>
      <c r="Y37" s="58">
        <v>125953.3</v>
      </c>
      <c r="Z37" s="58">
        <v>105676.4</v>
      </c>
      <c r="AA37" s="58">
        <v>0</v>
      </c>
    </row>
    <row r="38" spans="2:27">
      <c r="B38" s="12">
        <v>1993</v>
      </c>
      <c r="C38" s="58">
        <v>1620473.65</v>
      </c>
      <c r="D38" s="58">
        <v>1020940</v>
      </c>
      <c r="E38" s="58">
        <v>174495.3</v>
      </c>
      <c r="F38" s="58">
        <v>410001.9</v>
      </c>
      <c r="G38" s="58">
        <v>436442.8</v>
      </c>
      <c r="H38" s="58">
        <v>563095.44999999995</v>
      </c>
      <c r="I38" s="58">
        <v>335394.7</v>
      </c>
      <c r="J38" s="58">
        <v>1331392.3999999999</v>
      </c>
      <c r="K38" s="58">
        <f t="shared" si="1"/>
        <v>93090.599999999991</v>
      </c>
      <c r="L38" s="58">
        <v>333699.40000000002</v>
      </c>
      <c r="M38" s="58">
        <v>76.2</v>
      </c>
      <c r="N38" s="58">
        <v>93014.399999999994</v>
      </c>
      <c r="O38" s="58">
        <v>1552.8</v>
      </c>
      <c r="P38" s="58">
        <v>241668.4</v>
      </c>
      <c r="Q38" s="58">
        <v>169694.1</v>
      </c>
      <c r="R38" s="58">
        <v>54739.449999999721</v>
      </c>
      <c r="S38" s="58">
        <v>6440.9000000001861</v>
      </c>
      <c r="T38" s="58">
        <f t="shared" si="0"/>
        <v>-4745.7999999997201</v>
      </c>
      <c r="U38" s="58"/>
      <c r="V38" s="58">
        <v>0</v>
      </c>
      <c r="W38" s="58">
        <v>0</v>
      </c>
      <c r="X38" s="58">
        <v>-100069.5</v>
      </c>
      <c r="Y38" s="58">
        <v>59527.5</v>
      </c>
      <c r="Z38" s="58">
        <v>159597</v>
      </c>
      <c r="AA38" s="58">
        <v>0</v>
      </c>
    </row>
    <row r="39" spans="2:27">
      <c r="B39" s="12">
        <v>1994</v>
      </c>
      <c r="C39" s="58">
        <v>2213616.1</v>
      </c>
      <c r="D39" s="58">
        <v>1464315.9</v>
      </c>
      <c r="E39" s="58">
        <v>298537.3</v>
      </c>
      <c r="F39" s="58">
        <v>595332.80000000005</v>
      </c>
      <c r="G39" s="58">
        <v>570445.80000000005</v>
      </c>
      <c r="H39" s="58">
        <v>716627.9</v>
      </c>
      <c r="I39" s="58">
        <v>463685.8</v>
      </c>
      <c r="J39" s="58">
        <v>1697407.3</v>
      </c>
      <c r="K39" s="58">
        <f t="shared" si="1"/>
        <v>92849.7</v>
      </c>
      <c r="L39" s="58">
        <v>392647.9</v>
      </c>
      <c r="M39" s="58">
        <v>0.4</v>
      </c>
      <c r="N39" s="58">
        <v>92849.3</v>
      </c>
      <c r="O39" s="58">
        <v>30275.599999999999</v>
      </c>
      <c r="P39" s="58">
        <v>353159.8</v>
      </c>
      <c r="Q39" s="58">
        <v>257092</v>
      </c>
      <c r="R39" s="58">
        <v>198702.1</v>
      </c>
      <c r="S39" s="58">
        <v>59684.700000000274</v>
      </c>
      <c r="T39" s="58">
        <f t="shared" si="0"/>
        <v>53243.80000000009</v>
      </c>
      <c r="U39" s="58"/>
      <c r="V39" s="58">
        <v>0</v>
      </c>
      <c r="W39" s="58">
        <v>0</v>
      </c>
      <c r="X39" s="58">
        <v>-16086.2</v>
      </c>
      <c r="Y39" s="58">
        <v>152759.29999999999</v>
      </c>
      <c r="Z39" s="58">
        <v>168845.5</v>
      </c>
      <c r="AA39" s="58">
        <v>0</v>
      </c>
    </row>
    <row r="40" spans="2:27">
      <c r="B40" s="12">
        <v>1995</v>
      </c>
      <c r="C40" s="58">
        <v>2713110.7</v>
      </c>
      <c r="D40" s="58">
        <v>1986763</v>
      </c>
      <c r="E40" s="58">
        <v>399482.4</v>
      </c>
      <c r="F40" s="58">
        <v>772335.8</v>
      </c>
      <c r="G40" s="58">
        <v>814944.8</v>
      </c>
      <c r="H40" s="58">
        <v>689780.2</v>
      </c>
      <c r="I40" s="58">
        <v>351947.3</v>
      </c>
      <c r="J40" s="58">
        <v>2138374.5</v>
      </c>
      <c r="K40" s="58">
        <f t="shared" si="1"/>
        <v>121865.3</v>
      </c>
      <c r="L40" s="58">
        <v>535694</v>
      </c>
      <c r="M40" s="58">
        <v>14603.8</v>
      </c>
      <c r="N40" s="58">
        <v>107261.5</v>
      </c>
      <c r="O40" s="58">
        <v>50854.400000000001</v>
      </c>
      <c r="P40" s="58">
        <v>604084.1</v>
      </c>
      <c r="Q40" s="58">
        <v>428890.3</v>
      </c>
      <c r="R40" s="58">
        <v>-24175</v>
      </c>
      <c r="S40" s="58">
        <v>-69949.099999999817</v>
      </c>
      <c r="T40" s="58">
        <f t="shared" si="0"/>
        <v>-129633.80000000009</v>
      </c>
      <c r="U40" s="58"/>
      <c r="V40" s="58">
        <v>0</v>
      </c>
      <c r="W40" s="58">
        <v>0</v>
      </c>
      <c r="X40" s="58">
        <v>118641.5</v>
      </c>
      <c r="Y40" s="58">
        <v>287372.90000000002</v>
      </c>
      <c r="Z40" s="58">
        <v>168731.4</v>
      </c>
      <c r="AA40" s="58">
        <v>0</v>
      </c>
    </row>
    <row r="41" spans="2:27">
      <c r="B41" s="12">
        <v>1996</v>
      </c>
      <c r="C41" s="58">
        <v>2939278.753000001</v>
      </c>
      <c r="D41" s="58">
        <v>2079720.9560000005</v>
      </c>
      <c r="E41" s="58">
        <v>440910.87700000004</v>
      </c>
      <c r="F41" s="58">
        <v>814319.65500000003</v>
      </c>
      <c r="G41" s="58">
        <v>824490.42400000012</v>
      </c>
      <c r="H41" s="58">
        <v>776145.13600000006</v>
      </c>
      <c r="I41" s="58">
        <v>383143.22399999999</v>
      </c>
      <c r="J41" s="58">
        <v>2575654.7999999998</v>
      </c>
      <c r="K41" s="58">
        <f t="shared" si="1"/>
        <v>105378.3</v>
      </c>
      <c r="L41" s="58">
        <v>673634.9</v>
      </c>
      <c r="M41" s="58">
        <v>10533.8</v>
      </c>
      <c r="N41" s="58">
        <v>94844.5</v>
      </c>
      <c r="O41" s="58">
        <v>26772.97</v>
      </c>
      <c r="P41" s="58">
        <v>552951.80000000005</v>
      </c>
      <c r="Q41" s="58">
        <v>410826.7</v>
      </c>
      <c r="R41" s="58">
        <v>-194043.62599999923</v>
      </c>
      <c r="S41" s="58">
        <v>89248.099999999715</v>
      </c>
      <c r="T41" s="58">
        <f t="shared" si="0"/>
        <v>159197.19999999955</v>
      </c>
      <c r="U41" s="58"/>
      <c r="V41" s="58">
        <v>0</v>
      </c>
      <c r="W41" s="58">
        <v>0</v>
      </c>
      <c r="X41" s="58">
        <v>51005.98</v>
      </c>
      <c r="Y41" s="58">
        <v>215587.88</v>
      </c>
      <c r="Z41" s="58">
        <v>164581.9</v>
      </c>
      <c r="AA41" s="58">
        <v>0</v>
      </c>
    </row>
    <row r="42" spans="2:27">
      <c r="B42" s="12">
        <v>1997</v>
      </c>
      <c r="C42" s="58">
        <v>3256464.3868269995</v>
      </c>
      <c r="D42" s="58">
        <v>2236158.4489929997</v>
      </c>
      <c r="E42" s="58">
        <v>428731.30772000004</v>
      </c>
      <c r="F42" s="58">
        <v>951345.03935199999</v>
      </c>
      <c r="G42" s="58">
        <v>856082.10192099994</v>
      </c>
      <c r="H42" s="58">
        <v>951820.29015300004</v>
      </c>
      <c r="I42" s="58">
        <v>529220.68619399995</v>
      </c>
      <c r="J42" s="58">
        <v>2680784.5156289996</v>
      </c>
      <c r="K42" s="58">
        <f t="shared" si="1"/>
        <v>95364.902816000002</v>
      </c>
      <c r="L42" s="58">
        <v>695778.83764699998</v>
      </c>
      <c r="M42" s="58">
        <v>16088.930999999999</v>
      </c>
      <c r="N42" s="58">
        <v>79275.971816000005</v>
      </c>
      <c r="O42" s="58">
        <v>37970.229531999998</v>
      </c>
      <c r="P42" s="58">
        <v>831560.48373799992</v>
      </c>
      <c r="Q42" s="58">
        <v>646396.52711099992</v>
      </c>
      <c r="R42" s="58">
        <v>-220842.37354200007</v>
      </c>
      <c r="S42" s="58">
        <v>40353.543511999989</v>
      </c>
      <c r="T42" s="58">
        <f t="shared" si="0"/>
        <v>-48894.556487999726</v>
      </c>
      <c r="U42" s="58"/>
      <c r="V42" s="58">
        <v>90253.766148999988</v>
      </c>
      <c r="W42" s="58">
        <v>0</v>
      </c>
      <c r="X42" s="58">
        <v>183149.93607699999</v>
      </c>
      <c r="Y42" s="58">
        <v>331758.61249700002</v>
      </c>
      <c r="Z42" s="58">
        <v>148608.67642000003</v>
      </c>
      <c r="AA42" s="58">
        <v>0</v>
      </c>
    </row>
    <row r="43" spans="2:27">
      <c r="B43" s="12">
        <v>1998</v>
      </c>
      <c r="C43" s="58">
        <v>3756687.133376</v>
      </c>
      <c r="D43" s="58">
        <v>2484521.0967279999</v>
      </c>
      <c r="E43" s="58">
        <v>473094.94968899997</v>
      </c>
      <c r="F43" s="58">
        <v>1063734.37371</v>
      </c>
      <c r="G43" s="58">
        <v>947691.77332899999</v>
      </c>
      <c r="H43" s="58">
        <v>1227216.8136789999</v>
      </c>
      <c r="I43" s="58">
        <v>749819.710372</v>
      </c>
      <c r="J43" s="58">
        <v>3121635.1592869996</v>
      </c>
      <c r="K43" s="58">
        <f t="shared" si="1"/>
        <v>160668.318829</v>
      </c>
      <c r="L43" s="58">
        <v>797214.73314199992</v>
      </c>
      <c r="M43" s="58">
        <v>33799.128951999999</v>
      </c>
      <c r="N43" s="58">
        <v>126869.18987699998</v>
      </c>
      <c r="O43" s="58">
        <v>6508.3033399999986</v>
      </c>
      <c r="P43" s="58">
        <v>703192.52944399999</v>
      </c>
      <c r="Q43" s="58">
        <v>603660.08146200003</v>
      </c>
      <c r="R43" s="58">
        <v>-88931.641506999731</v>
      </c>
      <c r="S43" s="58">
        <v>75456.102847000016</v>
      </c>
      <c r="T43" s="58">
        <f t="shared" si="0"/>
        <v>35102.559335000027</v>
      </c>
      <c r="U43" s="58"/>
      <c r="V43" s="58">
        <v>354809.69357800001</v>
      </c>
      <c r="W43" s="58">
        <v>0</v>
      </c>
      <c r="X43" s="58">
        <v>108153.43409</v>
      </c>
      <c r="Y43" s="58">
        <v>331649.22823899996</v>
      </c>
      <c r="Z43" s="58">
        <v>223495.79414899996</v>
      </c>
      <c r="AA43" s="58">
        <v>-33262.661999999968</v>
      </c>
    </row>
    <row r="44" spans="2:27">
      <c r="B44" s="12">
        <v>1999</v>
      </c>
      <c r="C44" s="58">
        <v>4047947.0060000005</v>
      </c>
      <c r="D44" s="58">
        <v>2397682.4850000003</v>
      </c>
      <c r="E44" s="58">
        <v>551257.76699999999</v>
      </c>
      <c r="F44" s="58">
        <v>1048351.023</v>
      </c>
      <c r="G44" s="58">
        <v>798073.69500000007</v>
      </c>
      <c r="H44" s="58">
        <v>1600402.7740000002</v>
      </c>
      <c r="I44" s="58">
        <v>996765.57200000016</v>
      </c>
      <c r="J44" s="58">
        <v>3488013.2836640002</v>
      </c>
      <c r="K44" s="58">
        <f t="shared" si="1"/>
        <v>166552.12700000001</v>
      </c>
      <c r="L44" s="58">
        <v>1020231.210887</v>
      </c>
      <c r="M44" s="58">
        <v>30997.532999999999</v>
      </c>
      <c r="N44" s="58">
        <v>135554.59400000001</v>
      </c>
      <c r="O44" s="58">
        <v>11706.396000000002</v>
      </c>
      <c r="P44" s="58">
        <v>1200743.3347139999</v>
      </c>
      <c r="Q44" s="58">
        <v>765112.54271399998</v>
      </c>
      <c r="R44" s="58">
        <v>-804688.3963779998</v>
      </c>
      <c r="S44" s="58">
        <v>-580752.55900000012</v>
      </c>
      <c r="T44" s="58">
        <f t="shared" si="0"/>
        <v>-656208.66184700013</v>
      </c>
      <c r="U44" s="58"/>
      <c r="V44" s="58">
        <v>49740</v>
      </c>
      <c r="W44" s="58">
        <v>117477.95</v>
      </c>
      <c r="X44" s="58">
        <v>1477992.4930000002</v>
      </c>
      <c r="Y44" s="58">
        <v>1740420.1320000002</v>
      </c>
      <c r="Z44" s="58">
        <v>262427.63899999997</v>
      </c>
      <c r="AA44" s="58">
        <v>-757417</v>
      </c>
    </row>
    <row r="45" spans="2:27">
      <c r="B45" s="12">
        <v>2000</v>
      </c>
      <c r="C45" s="58">
        <v>4242624.7540000007</v>
      </c>
      <c r="D45" s="58">
        <v>2676796.7850000001</v>
      </c>
      <c r="E45" s="58">
        <v>478463.11100000009</v>
      </c>
      <c r="F45" s="58">
        <v>1150277.743</v>
      </c>
      <c r="G45" s="58">
        <v>1048055.931</v>
      </c>
      <c r="H45" s="58">
        <v>1518744.3270000003</v>
      </c>
      <c r="I45" s="58">
        <v>781205.66800000006</v>
      </c>
      <c r="J45" s="58">
        <v>4140416.5597980008</v>
      </c>
      <c r="K45" s="58">
        <f t="shared" si="1"/>
        <v>298244.75599999994</v>
      </c>
      <c r="L45" s="58">
        <v>1187592.5404399999</v>
      </c>
      <c r="M45" s="58">
        <v>26776.268999999997</v>
      </c>
      <c r="N45" s="58">
        <v>271468.48699999996</v>
      </c>
      <c r="O45" s="58">
        <v>996.16200000000003</v>
      </c>
      <c r="P45" s="58">
        <v>1117645.80183</v>
      </c>
      <c r="Q45" s="58">
        <v>987074.07082999987</v>
      </c>
      <c r="R45" s="58">
        <v>-1126392.8396280005</v>
      </c>
      <c r="S45" s="58">
        <v>994819.33003599977</v>
      </c>
      <c r="T45" s="58">
        <f t="shared" si="0"/>
        <v>1575571.8890359998</v>
      </c>
      <c r="U45" s="58"/>
      <c r="V45" s="58">
        <v>181883.1</v>
      </c>
      <c r="W45" s="58">
        <v>312298.53000000003</v>
      </c>
      <c r="X45" s="58">
        <v>465162.36500000005</v>
      </c>
      <c r="Y45" s="58">
        <v>785826.10800000001</v>
      </c>
      <c r="Z45" s="58">
        <v>320663.74299999996</v>
      </c>
      <c r="AA45" s="58">
        <v>539236</v>
      </c>
    </row>
    <row r="46" spans="2:27">
      <c r="B46" s="12">
        <v>2001</v>
      </c>
      <c r="C46" s="58">
        <v>4966817.6950000003</v>
      </c>
      <c r="D46" s="58">
        <v>2851461.3950000005</v>
      </c>
      <c r="E46" s="58">
        <v>458760.33</v>
      </c>
      <c r="F46" s="58">
        <v>1204291.3670000001</v>
      </c>
      <c r="G46" s="58">
        <v>1188409.6979999999</v>
      </c>
      <c r="H46" s="58">
        <v>1920157.22</v>
      </c>
      <c r="I46" s="58">
        <v>1283885.4369999999</v>
      </c>
      <c r="J46" s="58">
        <v>4352348.5604270007</v>
      </c>
      <c r="K46" s="58">
        <f t="shared" si="1"/>
        <v>364250.79600000003</v>
      </c>
      <c r="L46" s="58">
        <v>1281500.1417350001</v>
      </c>
      <c r="M46" s="58">
        <v>24116.353999999999</v>
      </c>
      <c r="N46" s="58">
        <v>340134.44200000004</v>
      </c>
      <c r="O46" s="58">
        <v>2537.5219999999999</v>
      </c>
      <c r="P46" s="58">
        <v>858091.8337950001</v>
      </c>
      <c r="Q46" s="58">
        <v>729937.75979500008</v>
      </c>
      <c r="R46" s="58">
        <v>-231622.69122200087</v>
      </c>
      <c r="S46" s="58">
        <v>289329.24248700019</v>
      </c>
      <c r="T46" s="58">
        <f t="shared" si="0"/>
        <v>-705490.08754899958</v>
      </c>
      <c r="U46" s="58"/>
      <c r="V46" s="58">
        <v>309021.94299999997</v>
      </c>
      <c r="W46" s="58">
        <v>104360</v>
      </c>
      <c r="X46" s="58">
        <v>-29123.46100000001</v>
      </c>
      <c r="Y46" s="58">
        <v>357487.35499999998</v>
      </c>
      <c r="Z46" s="58">
        <v>386610.81599999999</v>
      </c>
      <c r="AA46" s="58">
        <v>87705.35</v>
      </c>
    </row>
    <row r="47" spans="2:27">
      <c r="B47" s="12">
        <v>2002</v>
      </c>
      <c r="C47" s="58">
        <v>5067176.0490499986</v>
      </c>
      <c r="D47" s="58">
        <v>2920793.304049999</v>
      </c>
      <c r="E47" s="58">
        <v>584698.98529999994</v>
      </c>
      <c r="F47" s="58">
        <v>1252460.4029999997</v>
      </c>
      <c r="G47" s="58">
        <v>1083633.9157499999</v>
      </c>
      <c r="H47" s="58">
        <v>1955783.3979999998</v>
      </c>
      <c r="I47" s="58">
        <v>1259192.6639999999</v>
      </c>
      <c r="J47" s="58">
        <v>4747351.1024449999</v>
      </c>
      <c r="K47" s="58">
        <f t="shared" si="1"/>
        <v>436747.89799999999</v>
      </c>
      <c r="L47" s="58">
        <v>1336386.9434819999</v>
      </c>
      <c r="M47" s="58">
        <v>60329.255999999994</v>
      </c>
      <c r="N47" s="58">
        <v>376418.64199999999</v>
      </c>
      <c r="O47" s="58">
        <v>6732.1350000000002</v>
      </c>
      <c r="P47" s="58">
        <v>1291078.1823800001</v>
      </c>
      <c r="Q47" s="58">
        <v>1141650.53538</v>
      </c>
      <c r="R47" s="58">
        <v>-948476.1867750017</v>
      </c>
      <c r="S47" s="58">
        <v>741877.92223299993</v>
      </c>
      <c r="T47" s="58">
        <f t="shared" si="0"/>
        <v>452548.67974599975</v>
      </c>
      <c r="U47" s="58"/>
      <c r="V47" s="58">
        <v>298176.55</v>
      </c>
      <c r="W47" s="58">
        <v>725.25</v>
      </c>
      <c r="X47" s="58">
        <v>246762.7620000001</v>
      </c>
      <c r="Y47" s="58">
        <v>851536.255</v>
      </c>
      <c r="Z47" s="58">
        <v>604773.4929999999</v>
      </c>
      <c r="AA47" s="58">
        <v>-29318</v>
      </c>
    </row>
    <row r="48" spans="2:27">
      <c r="B48" s="12">
        <v>2003</v>
      </c>
      <c r="C48" s="58">
        <v>6057414.1196309999</v>
      </c>
      <c r="D48" s="58">
        <v>3676428.2376309996</v>
      </c>
      <c r="E48" s="58">
        <v>623865.22516399994</v>
      </c>
      <c r="F48" s="58">
        <v>1570339.0331999999</v>
      </c>
      <c r="G48" s="58">
        <v>1482223.979267</v>
      </c>
      <c r="H48" s="58">
        <v>2222963.91</v>
      </c>
      <c r="I48" s="58">
        <v>1491640.865</v>
      </c>
      <c r="J48" s="58">
        <v>4968637.3375840001</v>
      </c>
      <c r="K48" s="58">
        <f t="shared" si="1"/>
        <v>478832.63600000006</v>
      </c>
      <c r="L48" s="58">
        <v>1346408.3120000002</v>
      </c>
      <c r="M48" s="58">
        <v>57640.451000000001</v>
      </c>
      <c r="N48" s="58">
        <v>421192.18500000006</v>
      </c>
      <c r="O48" s="58">
        <v>6586.2259999999997</v>
      </c>
      <c r="P48" s="58">
        <v>1320945.5291160003</v>
      </c>
      <c r="Q48" s="58">
        <v>1111749.9631160002</v>
      </c>
      <c r="R48" s="58">
        <v>-131185.68306900002</v>
      </c>
      <c r="S48" s="58">
        <v>-543269.11991399969</v>
      </c>
      <c r="T48" s="58">
        <f t="shared" si="0"/>
        <v>-1285147.0421469996</v>
      </c>
      <c r="U48" s="58"/>
      <c r="V48" s="58">
        <v>0</v>
      </c>
      <c r="W48" s="58">
        <v>56183.06</v>
      </c>
      <c r="X48" s="58">
        <v>531772.08200000005</v>
      </c>
      <c r="Y48" s="58">
        <v>1227428.1430000002</v>
      </c>
      <c r="Z48" s="58">
        <v>695656.0610000001</v>
      </c>
      <c r="AA48" s="58">
        <v>-390336</v>
      </c>
    </row>
    <row r="49" spans="2:27">
      <c r="B49" s="12">
        <v>2004</v>
      </c>
      <c r="C49" s="58">
        <v>7628719.2474390008</v>
      </c>
      <c r="D49" s="58">
        <v>4929239.803506</v>
      </c>
      <c r="E49" s="58">
        <v>880157.29579999938</v>
      </c>
      <c r="F49" s="58">
        <v>1938952.7974589998</v>
      </c>
      <c r="G49" s="58">
        <v>2110129.7102470002</v>
      </c>
      <c r="H49" s="58">
        <v>2470512.4837590004</v>
      </c>
      <c r="I49" s="58">
        <v>1642857.4881640002</v>
      </c>
      <c r="J49" s="58">
        <v>5349352.006980001</v>
      </c>
      <c r="K49" s="58">
        <f t="shared" si="1"/>
        <v>474238.09099999996</v>
      </c>
      <c r="L49" s="58">
        <v>1431115.8000169999</v>
      </c>
      <c r="M49" s="58">
        <v>67734.679000000004</v>
      </c>
      <c r="N49" s="58">
        <v>406503.41199999995</v>
      </c>
      <c r="O49" s="58">
        <v>11868.289472</v>
      </c>
      <c r="P49" s="58">
        <v>1656858.767637</v>
      </c>
      <c r="Q49" s="58">
        <v>1383627.736637</v>
      </c>
      <c r="R49" s="58">
        <v>665689.98829399887</v>
      </c>
      <c r="S49" s="58">
        <v>-646925.37170200003</v>
      </c>
      <c r="T49" s="58">
        <f t="shared" si="0"/>
        <v>-103656.25178800034</v>
      </c>
      <c r="U49" s="58"/>
      <c r="V49" s="58">
        <v>0</v>
      </c>
      <c r="W49" s="58">
        <v>125192.13</v>
      </c>
      <c r="X49" s="58">
        <v>-80634.72570900002</v>
      </c>
      <c r="Y49" s="58">
        <v>763998.044291</v>
      </c>
      <c r="Z49" s="58">
        <v>844632.77</v>
      </c>
      <c r="AA49" s="58">
        <v>-113084</v>
      </c>
    </row>
    <row r="50" spans="2:27">
      <c r="B50" s="12">
        <v>2005</v>
      </c>
      <c r="C50" s="58">
        <v>8419260.2471761722</v>
      </c>
      <c r="D50" s="58">
        <v>5470528.1150201727</v>
      </c>
      <c r="E50" s="58">
        <v>952829.72957299987</v>
      </c>
      <c r="F50" s="58">
        <v>2402561.5252350001</v>
      </c>
      <c r="G50" s="58">
        <v>2115136.8602121733</v>
      </c>
      <c r="H50" s="58">
        <v>2690287.7369229998</v>
      </c>
      <c r="I50" s="58">
        <v>1651037.521924</v>
      </c>
      <c r="J50" s="58">
        <v>6217587.0656733001</v>
      </c>
      <c r="K50" s="58">
        <f t="shared" si="1"/>
        <v>539691.11087400001</v>
      </c>
      <c r="L50" s="58">
        <v>1770576.4264849999</v>
      </c>
      <c r="M50" s="58">
        <v>83732.217857000011</v>
      </c>
      <c r="N50" s="58">
        <v>455958.89301699999</v>
      </c>
      <c r="O50" s="58">
        <v>32783.271099999998</v>
      </c>
      <c r="P50" s="58">
        <v>1889399.0383247002</v>
      </c>
      <c r="Q50" s="58">
        <v>1439536.8180407002</v>
      </c>
      <c r="R50" s="58">
        <v>374282.92539317161</v>
      </c>
      <c r="S50" s="58">
        <v>-92168.53339466505</v>
      </c>
      <c r="T50" s="58">
        <f t="shared" si="0"/>
        <v>554756.83830733504</v>
      </c>
      <c r="U50" s="58"/>
      <c r="V50" s="58">
        <v>0</v>
      </c>
      <c r="W50" s="58">
        <v>137093.76764999999</v>
      </c>
      <c r="X50" s="58">
        <v>-309610.79866400012</v>
      </c>
      <c r="Y50" s="58">
        <v>658076.70958899998</v>
      </c>
      <c r="Z50" s="58">
        <v>967687.50825300009</v>
      </c>
      <c r="AA50" s="58">
        <v>-129402</v>
      </c>
    </row>
    <row r="51" spans="2:27">
      <c r="B51" s="12">
        <v>2006</v>
      </c>
      <c r="C51" s="58">
        <v>9556492.1362710018</v>
      </c>
      <c r="D51" s="58">
        <v>6294615.6264850004</v>
      </c>
      <c r="E51" s="58">
        <v>959700</v>
      </c>
      <c r="F51" s="58">
        <v>2818664</v>
      </c>
      <c r="G51" s="58">
        <v>2516251.6264850004</v>
      </c>
      <c r="H51" s="58">
        <v>2961473.8680940005</v>
      </c>
      <c r="I51" s="58">
        <v>1882888.7609790002</v>
      </c>
      <c r="J51" s="58">
        <v>7138092.9036799995</v>
      </c>
      <c r="K51" s="58">
        <f t="shared" si="1"/>
        <v>516256.79196599999</v>
      </c>
      <c r="L51" s="58">
        <v>2004187.0362240004</v>
      </c>
      <c r="M51" s="58">
        <v>53600.311565000004</v>
      </c>
      <c r="N51" s="58">
        <v>462656.48040100001</v>
      </c>
      <c r="O51" s="58">
        <v>31436.683649999999</v>
      </c>
      <c r="P51" s="58">
        <v>2204625.0477849995</v>
      </c>
      <c r="Q51" s="58">
        <v>1570854.5572459996</v>
      </c>
      <c r="R51" s="58">
        <v>264412.04938700236</v>
      </c>
      <c r="S51" s="58">
        <v>130531.38471549528</v>
      </c>
      <c r="T51" s="58">
        <f t="shared" si="0"/>
        <v>222699.91811016033</v>
      </c>
      <c r="U51" s="58"/>
      <c r="V51" s="58">
        <v>317649.9952</v>
      </c>
      <c r="W51" s="58">
        <v>170659.18299999999</v>
      </c>
      <c r="X51" s="58">
        <v>-151511.34592499991</v>
      </c>
      <c r="Y51" s="58">
        <v>831775.04368200002</v>
      </c>
      <c r="Z51" s="58">
        <v>983286.38960699993</v>
      </c>
      <c r="AA51" s="58">
        <v>-314107.04040010471</v>
      </c>
    </row>
    <row r="52" spans="2:27">
      <c r="B52" s="12">
        <v>2007</v>
      </c>
      <c r="C52" s="58">
        <v>10812396.344635004</v>
      </c>
      <c r="D52" s="58">
        <v>7018668.0537040047</v>
      </c>
      <c r="E52" s="58">
        <v>1228524.6631730041</v>
      </c>
      <c r="F52" s="58">
        <v>3521316.1875219997</v>
      </c>
      <c r="G52" s="58">
        <v>2268827.203009</v>
      </c>
      <c r="H52" s="58">
        <v>3314628.5038549998</v>
      </c>
      <c r="I52" s="58">
        <v>2042250.399956</v>
      </c>
      <c r="J52" s="58">
        <v>7964135.8946400033</v>
      </c>
      <c r="K52" s="58">
        <f t="shared" si="1"/>
        <v>512612.87054300006</v>
      </c>
      <c r="L52" s="58">
        <v>2269935.8547890005</v>
      </c>
      <c r="M52" s="58">
        <v>71079.424020000006</v>
      </c>
      <c r="N52" s="58">
        <v>441533.44652300002</v>
      </c>
      <c r="O52" s="58">
        <v>24882.681939999999</v>
      </c>
      <c r="P52" s="58">
        <v>2310153.371367</v>
      </c>
      <c r="Q52" s="58">
        <v>1514450.7113840003</v>
      </c>
      <c r="R52" s="58">
        <v>592820.825736003</v>
      </c>
      <c r="S52" s="58">
        <v>-308001.30407441244</v>
      </c>
      <c r="T52" s="58">
        <f t="shared" si="0"/>
        <v>-438532.68878990773</v>
      </c>
      <c r="U52" s="58"/>
      <c r="V52" s="58">
        <v>381897</v>
      </c>
      <c r="W52" s="58">
        <v>193290.96849999999</v>
      </c>
      <c r="X52" s="58">
        <v>-211511.43003099994</v>
      </c>
      <c r="Y52" s="58">
        <v>724418.65153500007</v>
      </c>
      <c r="Z52" s="58">
        <v>935930.08156600001</v>
      </c>
      <c r="AA52" s="58">
        <v>-800779.00367241236</v>
      </c>
    </row>
    <row r="53" spans="2:27">
      <c r="B53" s="12">
        <v>2008</v>
      </c>
      <c r="C53" s="58">
        <v>12719117.071509002</v>
      </c>
      <c r="D53" s="58">
        <v>8655987.0502560027</v>
      </c>
      <c r="E53" s="58">
        <v>1573182.4131980003</v>
      </c>
      <c r="F53" s="58">
        <v>4513259.4947420005</v>
      </c>
      <c r="G53" s="58">
        <v>2569545.1423159996</v>
      </c>
      <c r="H53" s="58">
        <v>3326694.3653529999</v>
      </c>
      <c r="I53" s="58">
        <v>1872340.6537580001</v>
      </c>
      <c r="J53" s="58">
        <v>8961686.3139660023</v>
      </c>
      <c r="K53" s="58">
        <f t="shared" si="1"/>
        <v>445146.68508500006</v>
      </c>
      <c r="L53" s="58">
        <v>2508458.2608150006</v>
      </c>
      <c r="M53" s="58">
        <v>95232.455992999996</v>
      </c>
      <c r="N53" s="58">
        <v>349914.22909200005</v>
      </c>
      <c r="O53" s="58">
        <v>27205.649310000001</v>
      </c>
      <c r="P53" s="58">
        <v>1988532.084423</v>
      </c>
      <c r="Q53" s="58">
        <v>1236693.117045</v>
      </c>
      <c r="R53" s="58">
        <v>1830511.3103979994</v>
      </c>
      <c r="S53" s="58">
        <v>-1791858.6249425015</v>
      </c>
      <c r="T53" s="58">
        <f t="shared" si="0"/>
        <v>-1483857.3208680891</v>
      </c>
      <c r="U53" s="58"/>
      <c r="V53" s="58">
        <v>167195.57999999999</v>
      </c>
      <c r="W53" s="58">
        <v>161514.53548499997</v>
      </c>
      <c r="X53" s="58">
        <v>-360122.28137899993</v>
      </c>
      <c r="Y53" s="58">
        <v>497313.09090300009</v>
      </c>
      <c r="Z53" s="58">
        <v>857435.37228200003</v>
      </c>
      <c r="AA53" s="58">
        <v>-1353384.3204855016</v>
      </c>
    </row>
    <row r="54" spans="2:27">
      <c r="B54" s="12">
        <v>2009</v>
      </c>
      <c r="C54" s="58">
        <v>13628786.532559996</v>
      </c>
      <c r="D54" s="58">
        <v>9206825.5953489989</v>
      </c>
      <c r="E54" s="58">
        <v>2192946.9571590004</v>
      </c>
      <c r="F54" s="58">
        <v>4450102.5001529995</v>
      </c>
      <c r="G54" s="58">
        <v>2563776.1380369999</v>
      </c>
      <c r="H54" s="58">
        <v>3824213.861209</v>
      </c>
      <c r="I54" s="58">
        <v>2266517.3983769999</v>
      </c>
      <c r="J54" s="58">
        <v>10606148.306464</v>
      </c>
      <c r="K54" s="58">
        <f t="shared" si="1"/>
        <v>434456.56267800007</v>
      </c>
      <c r="L54" s="58">
        <v>2965695.7545400001</v>
      </c>
      <c r="M54" s="58">
        <v>100029.24100000001</v>
      </c>
      <c r="N54" s="58">
        <v>334427.32167800004</v>
      </c>
      <c r="O54" s="58">
        <v>251456.74462000001</v>
      </c>
      <c r="P54" s="58">
        <v>3254917.371774001</v>
      </c>
      <c r="Q54" s="58">
        <v>2064063.6174410004</v>
      </c>
      <c r="R54" s="58">
        <v>44639.144186995924</v>
      </c>
      <c r="S54" s="58">
        <v>-117759.18395510071</v>
      </c>
      <c r="T54" s="58">
        <f t="shared" si="0"/>
        <v>1674099.4409874007</v>
      </c>
      <c r="U54" s="58"/>
      <c r="V54" s="58">
        <v>712000</v>
      </c>
      <c r="W54" s="58">
        <v>313282.59999999998</v>
      </c>
      <c r="X54" s="58">
        <v>65599.541722000111</v>
      </c>
      <c r="Y54" s="58">
        <v>1159256.576722</v>
      </c>
      <c r="Z54" s="58">
        <v>1093657.0349999999</v>
      </c>
      <c r="AA54" s="58">
        <v>-1010087.6097341008</v>
      </c>
    </row>
    <row r="55" spans="2:27">
      <c r="B55" s="12">
        <v>2010</v>
      </c>
      <c r="C55" s="58">
        <v>15923066.515046004</v>
      </c>
      <c r="D55" s="58">
        <v>11405604.653921003</v>
      </c>
      <c r="E55" s="58">
        <v>2095599.8218270002</v>
      </c>
      <c r="F55" s="58">
        <v>5908102.7675220016</v>
      </c>
      <c r="G55" s="58">
        <v>3401902.0645719999</v>
      </c>
      <c r="H55" s="58">
        <v>3804647.5032620002</v>
      </c>
      <c r="I55" s="58">
        <v>1952121.81</v>
      </c>
      <c r="J55" s="58">
        <v>11869212.506782999</v>
      </c>
      <c r="K55" s="58">
        <f t="shared" si="1"/>
        <v>346344.04496199999</v>
      </c>
      <c r="L55" s="58">
        <v>3219578.4960504998</v>
      </c>
      <c r="M55" s="58">
        <v>112082.75840800001</v>
      </c>
      <c r="N55" s="58">
        <v>234261.28655399999</v>
      </c>
      <c r="O55" s="58">
        <v>323932.45083400008</v>
      </c>
      <c r="P55" s="58">
        <v>3222482.3938390003</v>
      </c>
      <c r="Q55" s="58">
        <v>2264777.4019600004</v>
      </c>
      <c r="R55" s="58">
        <v>1173783.3144870065</v>
      </c>
      <c r="S55" s="58">
        <v>-1556273.8699818193</v>
      </c>
      <c r="T55" s="58">
        <f t="shared" si="0"/>
        <v>-1438514.6860267185</v>
      </c>
      <c r="U55" s="58"/>
      <c r="V55" s="58">
        <v>438500</v>
      </c>
      <c r="W55" s="58">
        <v>427954.53809299995</v>
      </c>
      <c r="X55" s="58">
        <v>246703.22347800026</v>
      </c>
      <c r="Y55" s="58">
        <v>1192950.5080000001</v>
      </c>
      <c r="Z55" s="58">
        <v>946247.28452199989</v>
      </c>
      <c r="AA55" s="58">
        <v>-1613549.4655288192</v>
      </c>
    </row>
    <row r="56" spans="2:27">
      <c r="B56" s="12">
        <v>2011</v>
      </c>
      <c r="C56" s="58">
        <v>18325860.305662997</v>
      </c>
      <c r="D56" s="58">
        <v>13210789.667652</v>
      </c>
      <c r="E56" s="58">
        <v>2610609.1114270003</v>
      </c>
      <c r="F56" s="58">
        <v>6785716.8807279998</v>
      </c>
      <c r="G56" s="58">
        <v>3814463.6754969996</v>
      </c>
      <c r="H56" s="58">
        <v>4357885.8260110002</v>
      </c>
      <c r="I56" s="58">
        <v>2323242.0190000003</v>
      </c>
      <c r="J56" s="58">
        <v>13973323.749638001</v>
      </c>
      <c r="K56" s="58">
        <f t="shared" si="1"/>
        <v>284087.703691</v>
      </c>
      <c r="L56" s="58">
        <v>3881813.1056220005</v>
      </c>
      <c r="M56" s="58">
        <v>71360.455849999998</v>
      </c>
      <c r="N56" s="58">
        <v>212727.24784100003</v>
      </c>
      <c r="O56" s="58">
        <v>645420.09675999999</v>
      </c>
      <c r="P56" s="58">
        <v>4233075.6722880006</v>
      </c>
      <c r="Q56" s="58">
        <v>2433827.7860580003</v>
      </c>
      <c r="R56" s="58">
        <v>786819.64291699999</v>
      </c>
      <c r="S56" s="58">
        <v>-463111.34644825954</v>
      </c>
      <c r="T56" s="58">
        <f t="shared" si="0"/>
        <v>1093162.5235335599</v>
      </c>
      <c r="U56" s="58"/>
      <c r="V56" s="58">
        <v>50000</v>
      </c>
      <c r="W56" s="58">
        <v>507378.11474099994</v>
      </c>
      <c r="X56" s="58">
        <v>-248462.68783499999</v>
      </c>
      <c r="Y56" s="58">
        <v>582751.19499999995</v>
      </c>
      <c r="Z56" s="58">
        <v>831213.88283499994</v>
      </c>
      <c r="AA56" s="58">
        <v>-332263.61339325964</v>
      </c>
    </row>
    <row r="57" spans="2:27">
      <c r="B57" s="12">
        <v>2012</v>
      </c>
      <c r="C57" s="58">
        <v>20159960.838927004</v>
      </c>
      <c r="D57" s="58">
        <v>13870655.588005003</v>
      </c>
      <c r="E57" s="58">
        <v>2903239.0727750002</v>
      </c>
      <c r="F57" s="58">
        <v>7078686.1601170013</v>
      </c>
      <c r="G57" s="58">
        <v>3888730.3551130001</v>
      </c>
      <c r="H57" s="58">
        <v>5462431.1721990006</v>
      </c>
      <c r="I57" s="58">
        <v>2995091.1906520003</v>
      </c>
      <c r="J57" s="58">
        <v>17395128.914456002</v>
      </c>
      <c r="K57" s="58">
        <f t="shared" si="1"/>
        <v>259165.13828000001</v>
      </c>
      <c r="L57" s="58">
        <v>4841305.9451860003</v>
      </c>
      <c r="M57" s="58">
        <v>58202.844622000004</v>
      </c>
      <c r="N57" s="58">
        <v>200962.29365800001</v>
      </c>
      <c r="O57" s="58">
        <v>480182.23406499997</v>
      </c>
      <c r="P57" s="58">
        <v>5230946.2500050003</v>
      </c>
      <c r="Q57" s="58">
        <v>2862907.2748600002</v>
      </c>
      <c r="R57" s="58">
        <v>-1966226.5704989955</v>
      </c>
      <c r="S57" s="58">
        <v>1982226.1217523408</v>
      </c>
      <c r="T57" s="58">
        <f t="shared" si="0"/>
        <v>2445337.4682006002</v>
      </c>
      <c r="U57" s="58"/>
      <c r="V57" s="58">
        <v>1047907.1598429997</v>
      </c>
      <c r="W57" s="58">
        <v>323540.52103599999</v>
      </c>
      <c r="X57" s="58">
        <v>-59227.355021999916</v>
      </c>
      <c r="Y57" s="58">
        <v>866089.16190399998</v>
      </c>
      <c r="Z57" s="58">
        <v>925316.51692599989</v>
      </c>
      <c r="AA57" s="58">
        <v>1027553.328132341</v>
      </c>
    </row>
    <row r="58" spans="2:27">
      <c r="B58" s="12">
        <v>2013</v>
      </c>
      <c r="C58" s="58">
        <v>21241376.746253997</v>
      </c>
      <c r="D58" s="58">
        <v>14790448.068255</v>
      </c>
      <c r="E58" s="58">
        <v>3097576.3318499993</v>
      </c>
      <c r="F58" s="58">
        <v>7883697.1705280002</v>
      </c>
      <c r="G58" s="58">
        <v>3809174.5658769999</v>
      </c>
      <c r="H58" s="58">
        <v>5566660.1072860006</v>
      </c>
      <c r="I58" s="58">
        <v>3142497.2300820006</v>
      </c>
      <c r="J58" s="58">
        <v>18851917.453692004</v>
      </c>
      <c r="K58" s="58">
        <f t="shared" si="1"/>
        <v>416021.52342500002</v>
      </c>
      <c r="L58" s="58">
        <v>5224734.5326380013</v>
      </c>
      <c r="M58" s="58">
        <v>185276.17180100002</v>
      </c>
      <c r="N58" s="58">
        <v>230745.351624</v>
      </c>
      <c r="O58" s="58">
        <v>212955.25795400006</v>
      </c>
      <c r="P58" s="58">
        <v>4987006.7876610002</v>
      </c>
      <c r="Q58" s="58">
        <v>2920075.8294350002</v>
      </c>
      <c r="R58" s="58">
        <v>-2460486.2758840062</v>
      </c>
      <c r="S58" s="58">
        <v>328524.55125296046</v>
      </c>
      <c r="T58" s="58">
        <f t="shared" si="0"/>
        <v>-1653701.5704993804</v>
      </c>
      <c r="U58" s="58"/>
      <c r="V58" s="58">
        <v>1073000</v>
      </c>
      <c r="W58" s="58">
        <v>171036.31062299997</v>
      </c>
      <c r="X58" s="58">
        <v>2144900.0148719996</v>
      </c>
      <c r="Y58" s="58">
        <v>2944391.1041629999</v>
      </c>
      <c r="Z58" s="58">
        <v>799491.08929100004</v>
      </c>
      <c r="AA58" s="58">
        <v>-798206.20862404001</v>
      </c>
    </row>
    <row r="59" spans="2:27">
      <c r="B59" s="12">
        <v>2014</v>
      </c>
      <c r="C59" s="58">
        <v>24455859.457349002</v>
      </c>
      <c r="D59" s="58">
        <v>17485925.236146003</v>
      </c>
      <c r="E59" s="58">
        <v>3681548.9930260004</v>
      </c>
      <c r="F59" s="58">
        <v>9333024.5262950025</v>
      </c>
      <c r="G59" s="58">
        <v>4471351.716825</v>
      </c>
      <c r="H59" s="58">
        <v>6086978.3791129999</v>
      </c>
      <c r="I59" s="58">
        <v>2701624.4497179999</v>
      </c>
      <c r="J59" s="58">
        <v>21237618.118226003</v>
      </c>
      <c r="K59" s="58">
        <f t="shared" si="1"/>
        <v>526712.15532900009</v>
      </c>
      <c r="L59" s="58">
        <v>6229453.8712650016</v>
      </c>
      <c r="M59" s="58">
        <v>243196.11803400001</v>
      </c>
      <c r="N59" s="58">
        <v>283516.03729500005</v>
      </c>
      <c r="O59" s="58">
        <v>240717.408096</v>
      </c>
      <c r="P59" s="58">
        <v>5632912.6929750014</v>
      </c>
      <c r="Q59" s="58">
        <v>3260869.0731040011</v>
      </c>
      <c r="R59" s="58">
        <v>-3133804.3317020014</v>
      </c>
      <c r="S59" s="58">
        <v>-1572624.4808627795</v>
      </c>
      <c r="T59" s="58">
        <f t="shared" si="0"/>
        <v>-1901149.03211574</v>
      </c>
      <c r="U59" s="58"/>
      <c r="V59" s="58">
        <v>1077543</v>
      </c>
      <c r="W59" s="58">
        <v>453722.26640299999</v>
      </c>
      <c r="X59" s="58">
        <v>4214569.0246839998</v>
      </c>
      <c r="Y59" s="58">
        <v>5019060.9201149996</v>
      </c>
      <c r="Z59" s="58">
        <v>804491.89543099992</v>
      </c>
      <c r="AA59" s="58">
        <v>-2415365.9699427802</v>
      </c>
    </row>
    <row r="60" spans="2:27">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row>
    <row r="62" spans="2:27">
      <c r="B62" s="36"/>
    </row>
    <row r="64" spans="2:27">
      <c r="B64" s="13" t="s">
        <v>90</v>
      </c>
      <c r="C64" s="38"/>
      <c r="D64" s="38"/>
      <c r="E64" s="38"/>
      <c r="F64" s="38"/>
      <c r="G64" s="38"/>
      <c r="H64" s="38"/>
      <c r="I64" s="38"/>
      <c r="J64" s="38"/>
      <c r="K64" s="38"/>
      <c r="L64" s="38"/>
      <c r="M64" s="38"/>
      <c r="N64" s="38"/>
      <c r="O64" s="38"/>
      <c r="P64" s="38"/>
      <c r="Q64" s="38"/>
      <c r="R64" s="38"/>
      <c r="S64" s="38"/>
      <c r="T64" s="291"/>
      <c r="U64" s="291"/>
      <c r="V64" s="38"/>
      <c r="W64" s="38"/>
      <c r="X64" s="38"/>
      <c r="Y64" s="38"/>
      <c r="Z64" s="38"/>
      <c r="AA64" s="38"/>
    </row>
    <row r="65" spans="2:31">
      <c r="B65" s="13" t="s">
        <v>59</v>
      </c>
      <c r="C65" s="449" t="s">
        <v>67</v>
      </c>
      <c r="D65" s="449"/>
      <c r="E65" s="449"/>
      <c r="F65" s="449"/>
      <c r="G65" s="449"/>
      <c r="H65" s="449"/>
      <c r="I65" s="449"/>
      <c r="J65" s="449"/>
      <c r="K65" s="449"/>
      <c r="L65" s="449"/>
      <c r="M65" s="449"/>
      <c r="N65" s="449"/>
      <c r="O65" s="449"/>
      <c r="P65" s="449"/>
      <c r="Q65" s="449"/>
      <c r="R65" s="449"/>
      <c r="S65" s="449"/>
      <c r="T65" s="449"/>
      <c r="U65" s="449"/>
      <c r="V65" s="449"/>
      <c r="W65" s="449"/>
      <c r="X65" s="449"/>
      <c r="Y65" s="449"/>
      <c r="Z65" s="449"/>
      <c r="AA65" s="449"/>
    </row>
    <row r="66" spans="2:31" s="5" customFormat="1">
      <c r="B66" s="14" t="s">
        <v>60</v>
      </c>
      <c r="C66" s="450" t="s">
        <v>67</v>
      </c>
      <c r="D66" s="450"/>
      <c r="E66" s="450"/>
      <c r="F66" s="450"/>
      <c r="G66" s="450"/>
      <c r="H66" s="450"/>
      <c r="I66" s="450"/>
      <c r="J66" s="450"/>
      <c r="K66" s="450"/>
      <c r="L66" s="450"/>
      <c r="M66" s="450"/>
      <c r="N66" s="450"/>
      <c r="O66" s="450"/>
      <c r="P66" s="450"/>
      <c r="Q66" s="450"/>
      <c r="R66" s="450"/>
      <c r="S66" s="450"/>
      <c r="T66" s="450"/>
      <c r="U66" s="450"/>
      <c r="V66" s="450"/>
      <c r="W66" s="450"/>
      <c r="X66" s="450"/>
      <c r="Y66" s="450"/>
      <c r="Z66" s="450"/>
      <c r="AA66" s="450"/>
    </row>
    <row r="67" spans="2:31">
      <c r="B67" s="13" t="s">
        <v>61</v>
      </c>
      <c r="C67" s="449" t="s">
        <v>68</v>
      </c>
      <c r="D67" s="449"/>
      <c r="E67" s="449"/>
      <c r="F67" s="449"/>
      <c r="G67" s="449"/>
      <c r="H67" s="449"/>
      <c r="I67" s="449"/>
      <c r="J67" s="449"/>
      <c r="K67" s="449"/>
      <c r="L67" s="449"/>
      <c r="M67" s="449"/>
      <c r="N67" s="449"/>
      <c r="O67" s="449"/>
      <c r="P67" s="449"/>
      <c r="Q67" s="449"/>
      <c r="R67" s="449"/>
      <c r="S67" s="449"/>
      <c r="T67" s="449"/>
      <c r="U67" s="449"/>
      <c r="V67" s="449"/>
      <c r="W67" s="449"/>
      <c r="X67" s="449"/>
      <c r="Y67" s="449"/>
      <c r="Z67" s="449"/>
      <c r="AA67" s="449"/>
    </row>
    <row r="68" spans="2:31">
      <c r="B68" s="13" t="s">
        <v>62</v>
      </c>
      <c r="C68" s="447"/>
      <c r="D68" s="447"/>
      <c r="E68" s="447"/>
      <c r="F68" s="447"/>
      <c r="G68" s="447"/>
      <c r="H68" s="447"/>
      <c r="I68" s="447"/>
      <c r="J68" s="447"/>
      <c r="K68" s="447"/>
      <c r="L68" s="447"/>
      <c r="M68" s="447"/>
      <c r="N68" s="447"/>
      <c r="O68" s="447"/>
      <c r="P68" s="447"/>
      <c r="Q68" s="447"/>
      <c r="R68" s="447"/>
      <c r="S68" s="447"/>
      <c r="T68" s="447"/>
      <c r="U68" s="447"/>
      <c r="V68" s="447"/>
      <c r="W68" s="447"/>
      <c r="X68" s="447"/>
      <c r="Y68" s="447"/>
      <c r="Z68" s="447"/>
      <c r="AA68" s="447"/>
    </row>
    <row r="69" spans="2:31">
      <c r="B69" s="39"/>
      <c r="C69" s="40"/>
      <c r="D69" s="40"/>
      <c r="E69" s="40"/>
      <c r="F69" s="40"/>
      <c r="G69" s="40"/>
      <c r="H69" s="40"/>
      <c r="I69" s="40"/>
      <c r="J69" s="40"/>
      <c r="K69" s="40"/>
      <c r="L69" s="40"/>
      <c r="M69" s="40"/>
      <c r="N69" s="40"/>
      <c r="O69" s="40"/>
      <c r="P69" s="40"/>
      <c r="Q69" s="40"/>
      <c r="R69" s="40"/>
      <c r="S69" s="40"/>
      <c r="T69" s="40"/>
      <c r="U69" s="40"/>
      <c r="V69" s="40"/>
      <c r="W69" s="40"/>
      <c r="X69" s="40"/>
      <c r="Y69" s="40"/>
      <c r="Z69" s="40"/>
      <c r="AA69" s="40"/>
    </row>
    <row r="70" spans="2:31">
      <c r="B70" s="41"/>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row>
    <row r="71" spans="2:31">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row>
    <row r="72" spans="2:31">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row>
    <row r="73" spans="2:31">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row>
  </sheetData>
  <mergeCells count="5">
    <mergeCell ref="C68:AA68"/>
    <mergeCell ref="B3:AA3"/>
    <mergeCell ref="C65:AA65"/>
    <mergeCell ref="C66:AA66"/>
    <mergeCell ref="C67:AA67"/>
  </mergeCells>
  <hyperlinks>
    <hyperlink ref="A1" location="Índice!A1" display="Índice"/>
  </hyperlinks>
  <pageMargins left="0.7" right="0.7" top="0.75" bottom="0.75" header="0.3" footer="0.3"/>
  <pageSetup orientation="portrait" r:id="rId1"/>
  <legacy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3:S94"/>
  <sheetViews>
    <sheetView zoomScale="70" zoomScaleNormal="70" zoomScalePageLayoutView="70" workbookViewId="0"/>
  </sheetViews>
  <sheetFormatPr defaultColWidth="11.44140625" defaultRowHeight="14.4"/>
  <cols>
    <col min="1" max="1" width="11.44140625" style="137"/>
    <col min="2" max="15" width="20.6640625" style="144" customWidth="1"/>
    <col min="16" max="16384" width="11.44140625" style="137"/>
  </cols>
  <sheetData>
    <row r="3" spans="1:19">
      <c r="B3" s="466" t="s">
        <v>319</v>
      </c>
      <c r="C3" s="466"/>
      <c r="D3" s="466"/>
      <c r="E3" s="467" t="s">
        <v>321</v>
      </c>
      <c r="F3" s="467"/>
      <c r="G3" s="467"/>
      <c r="H3" s="467"/>
      <c r="I3" s="467"/>
      <c r="J3" s="467"/>
      <c r="K3" s="467"/>
      <c r="L3" s="467"/>
      <c r="M3" s="467"/>
      <c r="N3" s="467"/>
      <c r="O3" s="467"/>
      <c r="R3" s="468" t="s">
        <v>347</v>
      </c>
      <c r="S3" s="468"/>
    </row>
    <row r="4" spans="1:19" s="138" customFormat="1" ht="28.8">
      <c r="B4" s="139" t="s">
        <v>326</v>
      </c>
      <c r="C4" s="139" t="s">
        <v>320</v>
      </c>
      <c r="D4" s="139" t="s">
        <v>319</v>
      </c>
      <c r="E4" s="140" t="s">
        <v>322</v>
      </c>
      <c r="F4" s="140" t="s">
        <v>328</v>
      </c>
      <c r="G4" s="140" t="s">
        <v>327</v>
      </c>
      <c r="H4" s="141" t="s">
        <v>329</v>
      </c>
      <c r="I4" s="141" t="s">
        <v>330</v>
      </c>
      <c r="J4" s="141" t="s">
        <v>331</v>
      </c>
      <c r="K4" s="141" t="s">
        <v>332</v>
      </c>
      <c r="L4" s="140" t="s">
        <v>323</v>
      </c>
      <c r="M4" s="140" t="s">
        <v>324</v>
      </c>
      <c r="N4" s="140" t="s">
        <v>325</v>
      </c>
      <c r="O4" s="140" t="s">
        <v>321</v>
      </c>
      <c r="R4" s="142" t="s">
        <v>348</v>
      </c>
      <c r="S4" s="142" t="s">
        <v>230</v>
      </c>
    </row>
    <row r="5" spans="1:19">
      <c r="A5" s="143" t="s">
        <v>297</v>
      </c>
      <c r="B5" s="143">
        <v>204988</v>
      </c>
      <c r="C5" s="143">
        <v>7200</v>
      </c>
      <c r="D5" s="143">
        <v>212188</v>
      </c>
      <c r="E5" s="143">
        <v>173708</v>
      </c>
      <c r="F5" s="143">
        <v>14902</v>
      </c>
      <c r="G5" s="143">
        <v>15180</v>
      </c>
      <c r="H5" s="143">
        <v>7742</v>
      </c>
      <c r="I5" s="143">
        <v>2884</v>
      </c>
      <c r="J5" s="143">
        <v>455</v>
      </c>
      <c r="K5" s="143">
        <v>4099</v>
      </c>
      <c r="L5" s="143">
        <v>2203</v>
      </c>
      <c r="M5" s="143">
        <v>205993</v>
      </c>
      <c r="N5" s="143">
        <v>6195</v>
      </c>
      <c r="O5" s="143">
        <v>212188</v>
      </c>
      <c r="R5" s="143">
        <v>14428</v>
      </c>
      <c r="S5" s="143">
        <v>2955</v>
      </c>
    </row>
    <row r="6" spans="1:19">
      <c r="A6" s="143" t="s">
        <v>298</v>
      </c>
      <c r="B6" s="143">
        <v>213598</v>
      </c>
      <c r="C6" s="143">
        <v>6774</v>
      </c>
      <c r="D6" s="143">
        <v>220372</v>
      </c>
      <c r="E6" s="143">
        <v>182396</v>
      </c>
      <c r="F6" s="143">
        <v>15413</v>
      </c>
      <c r="G6" s="143">
        <v>14358</v>
      </c>
      <c r="H6" s="143">
        <v>8615</v>
      </c>
      <c r="I6" s="143">
        <v>2154</v>
      </c>
      <c r="J6" s="143">
        <v>431</v>
      </c>
      <c r="K6" s="143">
        <v>3158</v>
      </c>
      <c r="L6" s="143">
        <v>2169</v>
      </c>
      <c r="M6" s="143">
        <v>214336</v>
      </c>
      <c r="N6" s="143">
        <v>6036</v>
      </c>
      <c r="O6" s="143">
        <v>220372</v>
      </c>
      <c r="R6" s="143">
        <v>13255</v>
      </c>
      <c r="S6" s="143">
        <v>3272</v>
      </c>
    </row>
    <row r="7" spans="1:19">
      <c r="A7" s="143" t="s">
        <v>299</v>
      </c>
      <c r="B7" s="143">
        <v>222569</v>
      </c>
      <c r="C7" s="143">
        <v>7962</v>
      </c>
      <c r="D7" s="143">
        <v>230531</v>
      </c>
      <c r="E7" s="143">
        <v>188475</v>
      </c>
      <c r="F7" s="143">
        <v>16147</v>
      </c>
      <c r="G7" s="143">
        <v>17000</v>
      </c>
      <c r="H7" s="143">
        <v>9520</v>
      </c>
      <c r="I7" s="143">
        <v>2720</v>
      </c>
      <c r="J7" s="143">
        <v>680</v>
      </c>
      <c r="K7" s="143">
        <v>4080</v>
      </c>
      <c r="L7" s="143">
        <v>2102</v>
      </c>
      <c r="M7" s="143">
        <v>223724</v>
      </c>
      <c r="N7" s="143">
        <v>6807</v>
      </c>
      <c r="O7" s="143">
        <v>230531</v>
      </c>
      <c r="R7" s="143">
        <v>15988</v>
      </c>
      <c r="S7" s="143">
        <v>3114</v>
      </c>
    </row>
    <row r="8" spans="1:19">
      <c r="A8" s="143" t="s">
        <v>300</v>
      </c>
      <c r="B8" s="143">
        <v>235255</v>
      </c>
      <c r="C8" s="143">
        <v>9503</v>
      </c>
      <c r="D8" s="143">
        <v>244758</v>
      </c>
      <c r="E8" s="143">
        <v>192333</v>
      </c>
      <c r="F8" s="143">
        <v>16858</v>
      </c>
      <c r="G8" s="143">
        <v>24578</v>
      </c>
      <c r="H8" s="143">
        <v>11060</v>
      </c>
      <c r="I8" s="143">
        <v>3687</v>
      </c>
      <c r="J8" s="143">
        <v>983</v>
      </c>
      <c r="K8" s="143">
        <v>8848</v>
      </c>
      <c r="L8" s="143">
        <v>1965</v>
      </c>
      <c r="M8" s="143">
        <v>235734</v>
      </c>
      <c r="N8" s="143">
        <v>9024</v>
      </c>
      <c r="O8" s="143">
        <v>244758</v>
      </c>
      <c r="R8" s="143">
        <v>22800</v>
      </c>
      <c r="S8" s="143">
        <v>3743</v>
      </c>
    </row>
    <row r="9" spans="1:19">
      <c r="A9" s="143" t="s">
        <v>301</v>
      </c>
      <c r="B9" s="143">
        <v>238784</v>
      </c>
      <c r="C9" s="143">
        <v>10228</v>
      </c>
      <c r="D9" s="143">
        <v>249012</v>
      </c>
      <c r="E9" s="143">
        <v>190955</v>
      </c>
      <c r="F9" s="143">
        <v>19798</v>
      </c>
      <c r="G9" s="143">
        <v>29026</v>
      </c>
      <c r="H9" s="143">
        <v>13642</v>
      </c>
      <c r="I9" s="143">
        <v>4644</v>
      </c>
      <c r="J9" s="143">
        <v>2032</v>
      </c>
      <c r="K9" s="143">
        <v>8708</v>
      </c>
      <c r="L9" s="143">
        <v>840</v>
      </c>
      <c r="M9" s="143">
        <v>240619</v>
      </c>
      <c r="N9" s="143">
        <v>8393</v>
      </c>
      <c r="O9" s="143">
        <v>249012</v>
      </c>
      <c r="R9" s="143">
        <v>21892</v>
      </c>
      <c r="S9" s="143">
        <v>7974</v>
      </c>
    </row>
    <row r="10" spans="1:19">
      <c r="A10" s="143" t="s">
        <v>302</v>
      </c>
      <c r="B10" s="143">
        <v>259797</v>
      </c>
      <c r="C10" s="143">
        <v>10471</v>
      </c>
      <c r="D10" s="143">
        <v>270268</v>
      </c>
      <c r="E10" s="143">
        <v>208438</v>
      </c>
      <c r="F10" s="143">
        <v>20562</v>
      </c>
      <c r="G10" s="143">
        <v>32353</v>
      </c>
      <c r="H10" s="143">
        <v>15853</v>
      </c>
      <c r="I10" s="143">
        <v>4529</v>
      </c>
      <c r="J10" s="143">
        <v>1618</v>
      </c>
      <c r="K10" s="143">
        <v>10353</v>
      </c>
      <c r="L10" s="143">
        <v>728</v>
      </c>
      <c r="M10" s="143">
        <v>262081</v>
      </c>
      <c r="N10" s="143">
        <v>8187</v>
      </c>
      <c r="O10" s="143">
        <v>270268</v>
      </c>
      <c r="R10" s="143">
        <v>20742</v>
      </c>
      <c r="S10" s="143">
        <v>12339</v>
      </c>
    </row>
    <row r="11" spans="1:19">
      <c r="A11" s="143" t="s">
        <v>303</v>
      </c>
      <c r="B11" s="143">
        <v>268890</v>
      </c>
      <c r="C11" s="143">
        <v>11808</v>
      </c>
      <c r="D11" s="143">
        <v>280698</v>
      </c>
      <c r="E11" s="143">
        <v>215112</v>
      </c>
      <c r="F11" s="143">
        <v>22890</v>
      </c>
      <c r="G11" s="143">
        <v>32691</v>
      </c>
      <c r="H11" s="143">
        <v>14711</v>
      </c>
      <c r="I11" s="143">
        <v>5884</v>
      </c>
      <c r="J11" s="143">
        <v>1635</v>
      </c>
      <c r="K11" s="143">
        <v>10461</v>
      </c>
      <c r="L11" s="143">
        <v>1307</v>
      </c>
      <c r="M11" s="143">
        <v>272000</v>
      </c>
      <c r="N11" s="143">
        <v>8698</v>
      </c>
      <c r="O11" s="143">
        <v>280698</v>
      </c>
      <c r="R11" s="143">
        <v>18937</v>
      </c>
      <c r="S11" s="143">
        <v>15061</v>
      </c>
    </row>
    <row r="12" spans="1:19">
      <c r="A12" s="143" t="s">
        <v>304</v>
      </c>
      <c r="B12" s="143">
        <v>280721</v>
      </c>
      <c r="C12" s="143">
        <v>13771</v>
      </c>
      <c r="D12" s="143">
        <v>294492</v>
      </c>
      <c r="E12" s="143">
        <v>222346</v>
      </c>
      <c r="F12" s="143">
        <v>24542</v>
      </c>
      <c r="G12" s="143">
        <v>35569</v>
      </c>
      <c r="H12" s="143">
        <v>16717</v>
      </c>
      <c r="I12" s="143">
        <v>8537</v>
      </c>
      <c r="J12" s="143">
        <v>711</v>
      </c>
      <c r="K12" s="143">
        <v>9604</v>
      </c>
      <c r="L12" s="143">
        <v>1763</v>
      </c>
      <c r="M12" s="143">
        <v>284220</v>
      </c>
      <c r="N12" s="143">
        <v>10272</v>
      </c>
      <c r="O12" s="143">
        <v>294492</v>
      </c>
      <c r="R12" s="143">
        <v>24228</v>
      </c>
      <c r="S12" s="143">
        <v>13104</v>
      </c>
    </row>
    <row r="13" spans="1:19">
      <c r="A13" s="143" t="s">
        <v>305</v>
      </c>
      <c r="B13" s="143">
        <v>295319</v>
      </c>
      <c r="C13" s="143">
        <v>13037</v>
      </c>
      <c r="D13" s="143">
        <v>308356</v>
      </c>
      <c r="E13" s="143">
        <v>234028</v>
      </c>
      <c r="F13" s="143">
        <v>25720</v>
      </c>
      <c r="G13" s="143">
        <v>35917</v>
      </c>
      <c r="H13" s="143">
        <v>17959</v>
      </c>
      <c r="I13" s="143">
        <v>6106</v>
      </c>
      <c r="J13" s="143">
        <v>1077</v>
      </c>
      <c r="K13" s="143">
        <v>10775</v>
      </c>
      <c r="L13" s="143">
        <v>628</v>
      </c>
      <c r="M13" s="143">
        <v>296293</v>
      </c>
      <c r="N13" s="143">
        <v>12063</v>
      </c>
      <c r="O13" s="143">
        <v>308356</v>
      </c>
      <c r="R13" s="143">
        <v>26751</v>
      </c>
      <c r="S13" s="143">
        <v>9794</v>
      </c>
    </row>
    <row r="14" spans="1:19">
      <c r="A14" s="143" t="s">
        <v>306</v>
      </c>
      <c r="B14" s="143">
        <v>312152</v>
      </c>
      <c r="C14" s="143">
        <v>14410</v>
      </c>
      <c r="D14" s="143">
        <v>326562</v>
      </c>
      <c r="E14" s="143">
        <v>247707</v>
      </c>
      <c r="F14" s="143">
        <v>25988</v>
      </c>
      <c r="G14" s="143">
        <v>39203</v>
      </c>
      <c r="H14" s="143">
        <v>21170</v>
      </c>
      <c r="I14" s="143">
        <v>5880</v>
      </c>
      <c r="J14" s="143">
        <v>1176</v>
      </c>
      <c r="K14" s="143">
        <v>10977</v>
      </c>
      <c r="L14" s="143">
        <v>1575</v>
      </c>
      <c r="M14" s="143">
        <v>314473</v>
      </c>
      <c r="N14" s="143">
        <v>12089</v>
      </c>
      <c r="O14" s="143">
        <v>326562</v>
      </c>
      <c r="R14" s="143">
        <v>29970</v>
      </c>
      <c r="S14" s="143">
        <v>10808</v>
      </c>
    </row>
    <row r="15" spans="1:19">
      <c r="A15" s="143" t="s">
        <v>307</v>
      </c>
      <c r="B15" s="143">
        <v>333066</v>
      </c>
      <c r="C15" s="143">
        <v>14474</v>
      </c>
      <c r="D15" s="143">
        <v>347540</v>
      </c>
      <c r="E15" s="143">
        <v>257405</v>
      </c>
      <c r="F15" s="143">
        <v>26703</v>
      </c>
      <c r="G15" s="143">
        <v>44233</v>
      </c>
      <c r="H15" s="143">
        <v>22117</v>
      </c>
      <c r="I15" s="143">
        <v>6193</v>
      </c>
      <c r="J15" s="143">
        <v>3538</v>
      </c>
      <c r="K15" s="143">
        <v>12385</v>
      </c>
      <c r="L15" s="143">
        <v>4800</v>
      </c>
      <c r="M15" s="143">
        <v>333141</v>
      </c>
      <c r="N15" s="143">
        <v>14399</v>
      </c>
      <c r="O15" s="143">
        <v>347540</v>
      </c>
      <c r="R15" s="143">
        <v>34813</v>
      </c>
      <c r="S15" s="143">
        <v>14220</v>
      </c>
    </row>
    <row r="16" spans="1:19">
      <c r="A16" s="143" t="s">
        <v>308</v>
      </c>
      <c r="B16" s="143">
        <v>358046</v>
      </c>
      <c r="C16" s="143">
        <v>19321</v>
      </c>
      <c r="D16" s="143">
        <v>377367</v>
      </c>
      <c r="E16" s="143">
        <v>261779</v>
      </c>
      <c r="F16" s="143">
        <v>25375</v>
      </c>
      <c r="G16" s="143">
        <v>58821</v>
      </c>
      <c r="H16" s="143">
        <v>25881</v>
      </c>
      <c r="I16" s="143">
        <v>8235</v>
      </c>
      <c r="J16" s="143">
        <v>4117</v>
      </c>
      <c r="K16" s="143">
        <v>20588</v>
      </c>
      <c r="L16" s="143">
        <v>11132</v>
      </c>
      <c r="M16" s="143">
        <v>357107</v>
      </c>
      <c r="N16" s="143">
        <v>20260</v>
      </c>
      <c r="O16" s="143">
        <v>377367</v>
      </c>
      <c r="R16" s="143">
        <v>55263</v>
      </c>
      <c r="S16" s="143">
        <v>14690</v>
      </c>
    </row>
    <row r="17" spans="1:19">
      <c r="A17" s="143" t="s">
        <v>309</v>
      </c>
      <c r="B17" s="143">
        <v>388480</v>
      </c>
      <c r="C17" s="143">
        <v>32240</v>
      </c>
      <c r="D17" s="143">
        <v>420720</v>
      </c>
      <c r="E17" s="143">
        <v>290834</v>
      </c>
      <c r="F17" s="143">
        <v>23611</v>
      </c>
      <c r="G17" s="143">
        <v>66877</v>
      </c>
      <c r="H17" s="143">
        <v>30763</v>
      </c>
      <c r="I17" s="143">
        <v>11369</v>
      </c>
      <c r="J17" s="143">
        <v>3344</v>
      </c>
      <c r="K17" s="143">
        <v>21401</v>
      </c>
      <c r="L17" s="143">
        <v>11273</v>
      </c>
      <c r="M17" s="143">
        <v>392595</v>
      </c>
      <c r="N17" s="143">
        <v>28125</v>
      </c>
      <c r="O17" s="143">
        <v>420720</v>
      </c>
      <c r="R17" s="143">
        <v>66271</v>
      </c>
      <c r="S17" s="143">
        <v>11879</v>
      </c>
    </row>
    <row r="18" spans="1:19">
      <c r="A18" s="143" t="s">
        <v>310</v>
      </c>
      <c r="B18" s="143">
        <v>416451</v>
      </c>
      <c r="C18" s="143">
        <v>38373</v>
      </c>
      <c r="D18" s="143">
        <v>454824</v>
      </c>
      <c r="E18" s="143">
        <v>319906</v>
      </c>
      <c r="F18" s="143">
        <v>28956</v>
      </c>
      <c r="G18" s="143">
        <v>63472</v>
      </c>
      <c r="H18" s="143">
        <v>30466</v>
      </c>
      <c r="I18" s="143">
        <v>13329</v>
      </c>
      <c r="J18" s="143">
        <v>3174</v>
      </c>
      <c r="K18" s="143">
        <v>16503</v>
      </c>
      <c r="L18" s="143">
        <v>15338</v>
      </c>
      <c r="M18" s="143">
        <v>427672</v>
      </c>
      <c r="N18" s="143">
        <v>27152</v>
      </c>
      <c r="O18" s="143">
        <v>454824</v>
      </c>
      <c r="R18" s="143">
        <v>61155</v>
      </c>
      <c r="S18" s="143">
        <v>17655</v>
      </c>
    </row>
    <row r="19" spans="1:19">
      <c r="A19" s="143">
        <v>1976</v>
      </c>
      <c r="B19" s="143">
        <v>446656</v>
      </c>
      <c r="C19" s="143">
        <v>69203</v>
      </c>
      <c r="D19" s="143">
        <v>515859</v>
      </c>
      <c r="E19" s="143">
        <v>339434</v>
      </c>
      <c r="F19" s="143">
        <v>30163</v>
      </c>
      <c r="G19" s="143">
        <v>87358</v>
      </c>
      <c r="H19" s="143">
        <v>42871</v>
      </c>
      <c r="I19" s="143">
        <v>17231</v>
      </c>
      <c r="J19" s="143">
        <v>4812</v>
      </c>
      <c r="K19" s="143">
        <v>22444</v>
      </c>
      <c r="L19" s="143">
        <v>9169</v>
      </c>
      <c r="M19" s="143">
        <v>466124</v>
      </c>
      <c r="N19" s="143">
        <v>49735</v>
      </c>
      <c r="O19" s="143">
        <v>515859</v>
      </c>
      <c r="R19" s="143">
        <v>61699</v>
      </c>
      <c r="S19" s="143">
        <v>34828</v>
      </c>
    </row>
    <row r="20" spans="1:19">
      <c r="A20" s="143">
        <v>1977</v>
      </c>
      <c r="B20" s="143">
        <v>495493</v>
      </c>
      <c r="C20" s="143">
        <v>97620</v>
      </c>
      <c r="D20" s="143">
        <v>593113</v>
      </c>
      <c r="E20" s="143">
        <v>388198</v>
      </c>
      <c r="F20" s="143">
        <v>34527</v>
      </c>
      <c r="G20" s="143">
        <v>103832</v>
      </c>
      <c r="H20" s="143">
        <v>45875</v>
      </c>
      <c r="I20" s="143">
        <v>27360</v>
      </c>
      <c r="J20" s="143">
        <v>3419</v>
      </c>
      <c r="K20" s="143">
        <v>27178</v>
      </c>
      <c r="L20" s="143">
        <v>4545</v>
      </c>
      <c r="M20" s="143">
        <v>531102</v>
      </c>
      <c r="N20" s="143">
        <v>62011</v>
      </c>
      <c r="O20" s="143">
        <v>593113</v>
      </c>
      <c r="R20" s="143">
        <v>70317</v>
      </c>
      <c r="S20" s="143">
        <v>38060</v>
      </c>
    </row>
    <row r="21" spans="1:19">
      <c r="A21" s="143">
        <v>1978</v>
      </c>
      <c r="B21" s="143">
        <v>551732</v>
      </c>
      <c r="C21" s="143">
        <v>110759</v>
      </c>
      <c r="D21" s="143">
        <v>662491</v>
      </c>
      <c r="E21" s="143">
        <v>409266</v>
      </c>
      <c r="F21" s="143">
        <v>40245</v>
      </c>
      <c r="G21" s="143">
        <v>126174</v>
      </c>
      <c r="H21" s="143">
        <v>63215</v>
      </c>
      <c r="I21" s="143">
        <v>35025</v>
      </c>
      <c r="J21" s="143">
        <v>3304</v>
      </c>
      <c r="K21" s="143">
        <v>24630</v>
      </c>
      <c r="L21" s="143">
        <v>12354</v>
      </c>
      <c r="M21" s="143">
        <v>588039</v>
      </c>
      <c r="N21" s="143">
        <v>74452</v>
      </c>
      <c r="O21" s="143">
        <v>662491</v>
      </c>
      <c r="R21" s="143">
        <v>101571</v>
      </c>
      <c r="S21" s="143">
        <v>36957</v>
      </c>
    </row>
    <row r="22" spans="1:19">
      <c r="A22" s="143">
        <v>1979</v>
      </c>
      <c r="B22" s="143">
        <v>614392</v>
      </c>
      <c r="C22" s="143">
        <v>120522</v>
      </c>
      <c r="D22" s="143">
        <v>734914</v>
      </c>
      <c r="E22" s="143">
        <v>403714</v>
      </c>
      <c r="F22" s="143">
        <v>37494</v>
      </c>
      <c r="G22" s="143">
        <v>150834</v>
      </c>
      <c r="H22" s="143">
        <v>79307</v>
      </c>
      <c r="I22" s="143">
        <v>33336</v>
      </c>
      <c r="J22" s="143">
        <v>1434</v>
      </c>
      <c r="K22" s="143">
        <v>36757</v>
      </c>
      <c r="L22" s="143">
        <v>10179</v>
      </c>
      <c r="M22" s="143">
        <v>602221</v>
      </c>
      <c r="N22" s="143">
        <v>132693</v>
      </c>
      <c r="O22" s="143">
        <v>734914</v>
      </c>
      <c r="R22" s="143">
        <v>125080</v>
      </c>
      <c r="S22" s="143">
        <v>35933</v>
      </c>
    </row>
    <row r="23" spans="1:19">
      <c r="A23" s="143">
        <v>1980</v>
      </c>
      <c r="B23" s="143">
        <v>684686</v>
      </c>
      <c r="C23" s="143">
        <v>135225</v>
      </c>
      <c r="D23" s="143">
        <v>819911</v>
      </c>
      <c r="E23" s="143">
        <v>472573</v>
      </c>
      <c r="F23" s="143">
        <v>42803</v>
      </c>
      <c r="G23" s="143">
        <v>183699</v>
      </c>
      <c r="H23" s="143">
        <v>108673</v>
      </c>
      <c r="I23" s="143">
        <v>36690</v>
      </c>
      <c r="J23" s="143">
        <v>3058</v>
      </c>
      <c r="K23" s="143">
        <v>35278</v>
      </c>
      <c r="L23" s="143">
        <v>10766</v>
      </c>
      <c r="M23" s="143">
        <v>709841</v>
      </c>
      <c r="N23" s="143">
        <v>110070</v>
      </c>
      <c r="O23" s="143">
        <v>819911</v>
      </c>
      <c r="R23" s="143">
        <v>161534</v>
      </c>
      <c r="S23" s="143">
        <v>32931</v>
      </c>
    </row>
    <row r="24" spans="1:19">
      <c r="A24" s="143">
        <v>1981</v>
      </c>
      <c r="B24" s="143">
        <v>744361</v>
      </c>
      <c r="C24" s="143">
        <v>142188</v>
      </c>
      <c r="D24" s="143">
        <v>886549</v>
      </c>
      <c r="E24" s="143">
        <v>524562</v>
      </c>
      <c r="F24" s="143">
        <v>51126</v>
      </c>
      <c r="G24" s="143">
        <v>216762</v>
      </c>
      <c r="H24" s="143">
        <v>137277</v>
      </c>
      <c r="I24" s="143">
        <v>32887</v>
      </c>
      <c r="J24" s="143">
        <v>5683</v>
      </c>
      <c r="K24" s="143">
        <v>40915</v>
      </c>
      <c r="L24" s="143">
        <v>10741</v>
      </c>
      <c r="M24" s="143">
        <v>803191</v>
      </c>
      <c r="N24" s="143">
        <v>83358</v>
      </c>
      <c r="O24" s="143">
        <v>886549</v>
      </c>
      <c r="R24" s="143">
        <v>189013</v>
      </c>
      <c r="S24" s="143">
        <v>38490</v>
      </c>
    </row>
    <row r="25" spans="1:19">
      <c r="A25" s="143">
        <v>1982</v>
      </c>
      <c r="B25" s="143">
        <v>737040</v>
      </c>
      <c r="C25" s="143">
        <v>145628</v>
      </c>
      <c r="D25" s="143">
        <v>882668</v>
      </c>
      <c r="E25" s="143">
        <v>552019</v>
      </c>
      <c r="F25" s="143">
        <v>52272</v>
      </c>
      <c r="G25" s="143">
        <v>176871</v>
      </c>
      <c r="H25" s="143">
        <v>115632</v>
      </c>
      <c r="I25" s="143">
        <v>19278</v>
      </c>
      <c r="J25" s="143">
        <v>6639</v>
      </c>
      <c r="K25" s="143">
        <v>35322</v>
      </c>
      <c r="L25" s="143">
        <v>12045</v>
      </c>
      <c r="M25" s="143">
        <v>793207</v>
      </c>
      <c r="N25" s="143">
        <v>89461</v>
      </c>
      <c r="O25" s="143">
        <v>882668</v>
      </c>
      <c r="R25" s="143">
        <v>155735</v>
      </c>
      <c r="S25" s="143">
        <v>33181</v>
      </c>
    </row>
    <row r="26" spans="1:19">
      <c r="A26" s="143">
        <v>1983</v>
      </c>
      <c r="B26" s="143">
        <v>714929</v>
      </c>
      <c r="C26" s="143">
        <v>112736</v>
      </c>
      <c r="D26" s="143">
        <v>827665</v>
      </c>
      <c r="E26" s="143">
        <v>543425</v>
      </c>
      <c r="F26" s="143">
        <v>53919</v>
      </c>
      <c r="G26" s="143">
        <v>145183</v>
      </c>
      <c r="H26" s="143">
        <v>113185</v>
      </c>
      <c r="I26" s="143">
        <v>6066</v>
      </c>
      <c r="J26" s="143">
        <v>7235</v>
      </c>
      <c r="K26" s="143">
        <v>18697</v>
      </c>
      <c r="L26" s="143">
        <v>9404</v>
      </c>
      <c r="M26" s="143">
        <v>751931</v>
      </c>
      <c r="N26" s="143">
        <v>75734</v>
      </c>
      <c r="O26" s="143">
        <v>827665</v>
      </c>
      <c r="R26" s="143">
        <v>125502</v>
      </c>
      <c r="S26" s="143">
        <v>29085</v>
      </c>
    </row>
    <row r="27" spans="1:19">
      <c r="A27" s="143">
        <v>1984</v>
      </c>
      <c r="B27" s="143">
        <v>736906</v>
      </c>
      <c r="C27" s="143">
        <v>131693</v>
      </c>
      <c r="D27" s="143">
        <v>868599</v>
      </c>
      <c r="E27" s="143">
        <v>566155</v>
      </c>
      <c r="F27" s="143">
        <v>50755</v>
      </c>
      <c r="G27" s="143">
        <v>146440</v>
      </c>
      <c r="H27" s="143">
        <v>91208</v>
      </c>
      <c r="I27" s="143">
        <v>33389</v>
      </c>
      <c r="J27" s="143">
        <v>1628</v>
      </c>
      <c r="K27" s="143">
        <v>20215</v>
      </c>
      <c r="L27" s="143">
        <v>10500</v>
      </c>
      <c r="M27" s="143">
        <v>773850</v>
      </c>
      <c r="N27" s="143">
        <v>94749</v>
      </c>
      <c r="O27" s="143">
        <v>868599</v>
      </c>
      <c r="R27" s="143">
        <v>119655</v>
      </c>
      <c r="S27" s="143">
        <v>37285</v>
      </c>
    </row>
    <row r="28" spans="1:19">
      <c r="A28" s="143">
        <v>1985</v>
      </c>
      <c r="B28" s="143">
        <v>766158</v>
      </c>
      <c r="C28" s="143">
        <v>113152</v>
      </c>
      <c r="D28" s="143">
        <v>879310</v>
      </c>
      <c r="E28" s="143">
        <v>572874</v>
      </c>
      <c r="F28" s="143">
        <v>52800</v>
      </c>
      <c r="G28" s="143">
        <v>146940</v>
      </c>
      <c r="H28" s="143">
        <v>90296</v>
      </c>
      <c r="I28" s="143">
        <v>27208</v>
      </c>
      <c r="J28" s="143">
        <v>4462</v>
      </c>
      <c r="K28" s="143">
        <v>24974</v>
      </c>
      <c r="L28" s="143">
        <v>11700</v>
      </c>
      <c r="M28" s="143">
        <v>784314</v>
      </c>
      <c r="N28" s="143">
        <v>94996</v>
      </c>
      <c r="O28" s="143">
        <v>879310</v>
      </c>
      <c r="R28" s="143">
        <v>114393</v>
      </c>
      <c r="S28" s="143">
        <v>44247</v>
      </c>
    </row>
    <row r="29" spans="1:19">
      <c r="A29" s="143">
        <v>1986</v>
      </c>
      <c r="B29" s="143">
        <v>766223</v>
      </c>
      <c r="C29" s="143">
        <v>154224</v>
      </c>
      <c r="D29" s="143">
        <v>920447</v>
      </c>
      <c r="E29" s="143">
        <v>574225</v>
      </c>
      <c r="F29" s="143">
        <v>53950</v>
      </c>
      <c r="G29" s="143">
        <v>151500</v>
      </c>
      <c r="H29" s="143">
        <v>91200</v>
      </c>
      <c r="I29" s="143">
        <v>34845</v>
      </c>
      <c r="J29" s="143">
        <v>7275</v>
      </c>
      <c r="K29" s="143">
        <v>18180</v>
      </c>
      <c r="L29" s="143">
        <v>13000</v>
      </c>
      <c r="M29" s="143">
        <v>792675</v>
      </c>
      <c r="N29" s="143">
        <v>127772</v>
      </c>
      <c r="O29" s="143">
        <v>920447</v>
      </c>
      <c r="R29" s="143">
        <v>115150</v>
      </c>
      <c r="S29" s="143">
        <v>49350</v>
      </c>
    </row>
    <row r="30" spans="1:19">
      <c r="A30" s="143">
        <v>1987</v>
      </c>
      <c r="B30" s="143">
        <v>799382</v>
      </c>
      <c r="C30" s="143">
        <v>177290</v>
      </c>
      <c r="D30" s="143">
        <v>976672</v>
      </c>
      <c r="E30" s="143">
        <v>608035</v>
      </c>
      <c r="F30" s="143">
        <v>59350</v>
      </c>
      <c r="G30" s="143">
        <v>160990</v>
      </c>
      <c r="H30" s="143">
        <v>93024</v>
      </c>
      <c r="I30" s="143">
        <v>24307</v>
      </c>
      <c r="J30" s="143">
        <v>12069</v>
      </c>
      <c r="K30" s="143">
        <v>31590</v>
      </c>
      <c r="L30" s="143">
        <v>14500</v>
      </c>
      <c r="M30" s="143">
        <v>842875</v>
      </c>
      <c r="N30" s="143">
        <v>133797</v>
      </c>
      <c r="O30" s="143">
        <v>976672</v>
      </c>
      <c r="R30" s="143">
        <v>127986</v>
      </c>
      <c r="S30" s="143">
        <v>47504</v>
      </c>
    </row>
    <row r="31" spans="1:19">
      <c r="A31" s="143">
        <v>1988</v>
      </c>
      <c r="B31" s="143">
        <v>850207</v>
      </c>
      <c r="C31" s="143">
        <v>198370</v>
      </c>
      <c r="D31" s="143">
        <v>1048577</v>
      </c>
      <c r="E31" s="143">
        <v>619893</v>
      </c>
      <c r="F31" s="143">
        <v>61310</v>
      </c>
      <c r="G31" s="143">
        <v>166951</v>
      </c>
      <c r="H31" s="143">
        <v>95484</v>
      </c>
      <c r="I31" s="143">
        <v>19148</v>
      </c>
      <c r="J31" s="143">
        <v>7936</v>
      </c>
      <c r="K31" s="143">
        <v>44383</v>
      </c>
      <c r="L31" s="143">
        <v>15436</v>
      </c>
      <c r="M31" s="143">
        <v>863590</v>
      </c>
      <c r="N31" s="143">
        <v>184987</v>
      </c>
      <c r="O31" s="143">
        <v>1048577</v>
      </c>
      <c r="R31" s="143">
        <v>133143</v>
      </c>
      <c r="S31" s="143">
        <v>49244</v>
      </c>
    </row>
    <row r="32" spans="1:19">
      <c r="A32" s="143">
        <v>1989</v>
      </c>
      <c r="B32" s="143">
        <v>899500</v>
      </c>
      <c r="C32" s="143">
        <v>170262</v>
      </c>
      <c r="D32" s="143">
        <v>1069762</v>
      </c>
      <c r="E32" s="143">
        <v>604606</v>
      </c>
      <c r="F32" s="143">
        <v>64639</v>
      </c>
      <c r="G32" s="143">
        <v>184771</v>
      </c>
      <c r="H32" s="143">
        <v>92916</v>
      </c>
      <c r="I32" s="143">
        <v>21599</v>
      </c>
      <c r="J32" s="143">
        <v>16996</v>
      </c>
      <c r="K32" s="143">
        <v>53260</v>
      </c>
      <c r="L32" s="143">
        <v>15976</v>
      </c>
      <c r="M32" s="143">
        <v>869992</v>
      </c>
      <c r="N32" s="143">
        <v>199770</v>
      </c>
      <c r="O32" s="143">
        <v>1069762</v>
      </c>
      <c r="R32" s="143">
        <v>159198</v>
      </c>
      <c r="S32" s="143">
        <v>41549</v>
      </c>
    </row>
    <row r="33" spans="1:19">
      <c r="A33" s="143">
        <v>1990</v>
      </c>
      <c r="B33" s="143">
        <v>927317</v>
      </c>
      <c r="C33" s="143">
        <v>283873</v>
      </c>
      <c r="D33" s="143">
        <v>1211190</v>
      </c>
      <c r="E33" s="143">
        <v>686329</v>
      </c>
      <c r="F33" s="143">
        <v>66707</v>
      </c>
      <c r="G33" s="143">
        <v>203471</v>
      </c>
      <c r="H33" s="143">
        <v>91483</v>
      </c>
      <c r="I33" s="143">
        <v>18889</v>
      </c>
      <c r="J33" s="143">
        <v>60638</v>
      </c>
      <c r="K33" s="143">
        <v>32461</v>
      </c>
      <c r="L33" s="143">
        <v>15704</v>
      </c>
      <c r="M33" s="143">
        <v>972211</v>
      </c>
      <c r="N33" s="143">
        <v>238979</v>
      </c>
      <c r="O33" s="143">
        <v>1211190</v>
      </c>
      <c r="R33" s="143">
        <v>184789</v>
      </c>
      <c r="S33" s="143">
        <v>34386</v>
      </c>
    </row>
    <row r="34" spans="1:19">
      <c r="A34" s="143">
        <v>1991</v>
      </c>
      <c r="B34" s="143">
        <v>950208</v>
      </c>
      <c r="C34" s="143">
        <v>325054</v>
      </c>
      <c r="D34" s="143">
        <v>1275262</v>
      </c>
      <c r="E34" s="143">
        <v>700553</v>
      </c>
      <c r="F34" s="143">
        <v>80047</v>
      </c>
      <c r="G34" s="143">
        <v>215354</v>
      </c>
      <c r="H34" s="143">
        <v>99880</v>
      </c>
      <c r="I34" s="143">
        <v>26975</v>
      </c>
      <c r="J34" s="143">
        <v>48711</v>
      </c>
      <c r="K34" s="143">
        <v>39788</v>
      </c>
      <c r="L34" s="143">
        <v>22676</v>
      </c>
      <c r="M34" s="143">
        <v>1018630</v>
      </c>
      <c r="N34" s="143">
        <v>256632</v>
      </c>
      <c r="O34" s="143">
        <v>1275262</v>
      </c>
      <c r="R34" s="143">
        <v>198162</v>
      </c>
      <c r="S34" s="143">
        <v>39868</v>
      </c>
    </row>
    <row r="35" spans="1:19">
      <c r="A35" s="143">
        <v>1992</v>
      </c>
      <c r="B35" s="143">
        <v>967312</v>
      </c>
      <c r="C35" s="143">
        <v>338286</v>
      </c>
      <c r="D35" s="143">
        <v>1305598</v>
      </c>
      <c r="E35" s="143">
        <v>750709</v>
      </c>
      <c r="F35" s="143">
        <v>86288</v>
      </c>
      <c r="G35" s="143">
        <v>201580</v>
      </c>
      <c r="H35" s="143">
        <v>135971</v>
      </c>
      <c r="I35" s="143">
        <v>15993</v>
      </c>
      <c r="J35" s="143">
        <v>24588</v>
      </c>
      <c r="K35" s="143">
        <v>25028</v>
      </c>
      <c r="L35" s="143">
        <v>20902</v>
      </c>
      <c r="M35" s="143">
        <v>1059479</v>
      </c>
      <c r="N35" s="143">
        <v>246119</v>
      </c>
      <c r="O35" s="143">
        <v>1305598</v>
      </c>
      <c r="R35" s="143">
        <v>176130</v>
      </c>
      <c r="S35" s="143">
        <v>46352</v>
      </c>
    </row>
    <row r="36" spans="1:19">
      <c r="A36" s="143">
        <v>1993</v>
      </c>
      <c r="B36" s="143">
        <v>1007377</v>
      </c>
      <c r="C36" s="143">
        <v>445332</v>
      </c>
      <c r="D36" s="143">
        <v>1452709</v>
      </c>
      <c r="E36" s="143">
        <v>790728</v>
      </c>
      <c r="F36" s="143">
        <v>90847</v>
      </c>
      <c r="G36" s="143">
        <v>206471</v>
      </c>
      <c r="H36" s="143">
        <v>137648</v>
      </c>
      <c r="I36" s="143">
        <v>19005</v>
      </c>
      <c r="J36" s="143">
        <v>22279</v>
      </c>
      <c r="K36" s="143">
        <v>27539</v>
      </c>
      <c r="L36" s="143">
        <v>21086</v>
      </c>
      <c r="M36" s="143">
        <v>1109132</v>
      </c>
      <c r="N36" s="143">
        <v>343577</v>
      </c>
      <c r="O36" s="143">
        <v>1452709</v>
      </c>
      <c r="R36" s="143">
        <v>167237</v>
      </c>
      <c r="S36" s="143">
        <v>60320</v>
      </c>
    </row>
    <row r="37" spans="1:19">
      <c r="A37" s="143">
        <v>1994</v>
      </c>
      <c r="B37" s="143">
        <v>1038547</v>
      </c>
      <c r="C37" s="143">
        <v>564237</v>
      </c>
      <c r="D37" s="143">
        <v>1602784</v>
      </c>
      <c r="E37" s="143">
        <v>904917</v>
      </c>
      <c r="F37" s="143">
        <v>94382</v>
      </c>
      <c r="G37" s="143">
        <v>215996</v>
      </c>
      <c r="H37" s="143">
        <v>140917</v>
      </c>
      <c r="I37" s="143">
        <v>21791</v>
      </c>
      <c r="J37" s="143">
        <v>25545</v>
      </c>
      <c r="K37" s="143">
        <v>27743</v>
      </c>
      <c r="L37" s="143">
        <v>21703</v>
      </c>
      <c r="M37" s="143">
        <v>1236998</v>
      </c>
      <c r="N37" s="143">
        <v>365786</v>
      </c>
      <c r="O37" s="143">
        <v>1602784</v>
      </c>
      <c r="R37" s="143">
        <v>171251</v>
      </c>
      <c r="S37" s="143">
        <v>66448</v>
      </c>
    </row>
    <row r="38" spans="1:19">
      <c r="A38" s="143">
        <v>1995</v>
      </c>
      <c r="B38" s="143">
        <v>1087409</v>
      </c>
      <c r="C38" s="143">
        <v>628635</v>
      </c>
      <c r="D38" s="143">
        <v>1716044</v>
      </c>
      <c r="E38" s="143">
        <v>928235</v>
      </c>
      <c r="F38" s="143">
        <v>105772</v>
      </c>
      <c r="G38" s="143">
        <v>232697</v>
      </c>
      <c r="H38" s="143">
        <v>146552</v>
      </c>
      <c r="I38" s="143">
        <v>24842</v>
      </c>
      <c r="J38" s="143">
        <v>29121</v>
      </c>
      <c r="K38" s="143">
        <v>32182</v>
      </c>
      <c r="L38" s="143">
        <v>21891</v>
      </c>
      <c r="M38" s="143">
        <v>1288595</v>
      </c>
      <c r="N38" s="143">
        <v>427449</v>
      </c>
      <c r="O38" s="143">
        <v>1716044</v>
      </c>
      <c r="R38" s="143">
        <v>204212</v>
      </c>
      <c r="S38" s="143">
        <v>50376</v>
      </c>
    </row>
    <row r="39" spans="1:19">
      <c r="A39" s="143" t="s">
        <v>311</v>
      </c>
      <c r="B39" s="143">
        <v>1101158</v>
      </c>
      <c r="C39" s="143">
        <v>590288</v>
      </c>
      <c r="D39" s="143">
        <v>1691446</v>
      </c>
      <c r="E39" s="143">
        <v>942921</v>
      </c>
      <c r="F39" s="143">
        <v>116349</v>
      </c>
      <c r="G39" s="143">
        <v>232464</v>
      </c>
      <c r="H39" s="143">
        <v>151022</v>
      </c>
      <c r="I39" s="143">
        <v>24941</v>
      </c>
      <c r="J39" s="143">
        <v>21841</v>
      </c>
      <c r="K39" s="143">
        <v>34660</v>
      </c>
      <c r="L39" s="143">
        <v>21847</v>
      </c>
      <c r="M39" s="143">
        <v>1313581</v>
      </c>
      <c r="N39" s="143">
        <v>377865</v>
      </c>
      <c r="O39" s="143">
        <v>1691446</v>
      </c>
      <c r="R39" s="143">
        <v>206595</v>
      </c>
      <c r="S39" s="143">
        <v>47716</v>
      </c>
    </row>
    <row r="40" spans="1:19">
      <c r="A40" s="143" t="s">
        <v>312</v>
      </c>
      <c r="B40" s="143">
        <v>1129682</v>
      </c>
      <c r="C40" s="143">
        <v>566677</v>
      </c>
      <c r="D40" s="143">
        <v>1696359</v>
      </c>
      <c r="E40" s="143">
        <v>972996</v>
      </c>
      <c r="F40" s="143">
        <v>118676</v>
      </c>
      <c r="G40" s="143">
        <v>228794</v>
      </c>
      <c r="H40" s="143">
        <v>152532</v>
      </c>
      <c r="I40" s="143">
        <v>30004</v>
      </c>
      <c r="J40" s="143">
        <v>17975</v>
      </c>
      <c r="K40" s="143">
        <v>28283</v>
      </c>
      <c r="L40" s="143">
        <v>20322</v>
      </c>
      <c r="M40" s="143">
        <v>1340788</v>
      </c>
      <c r="N40" s="143">
        <v>355571</v>
      </c>
      <c r="O40" s="143">
        <v>1696359</v>
      </c>
      <c r="R40" s="143">
        <v>197832</v>
      </c>
      <c r="S40" s="143">
        <v>51284</v>
      </c>
    </row>
    <row r="41" spans="1:19">
      <c r="A41" s="143" t="s">
        <v>313</v>
      </c>
      <c r="B41" s="143">
        <v>1124939</v>
      </c>
      <c r="C41" s="143">
        <v>527010</v>
      </c>
      <c r="D41" s="143">
        <v>1651949</v>
      </c>
      <c r="E41" s="143">
        <v>964943</v>
      </c>
      <c r="F41" s="143">
        <v>119528</v>
      </c>
      <c r="G41" s="143">
        <v>217369</v>
      </c>
      <c r="H41" s="143">
        <v>154058</v>
      </c>
      <c r="I41" s="143">
        <v>21603</v>
      </c>
      <c r="J41" s="143">
        <v>16537</v>
      </c>
      <c r="K41" s="143">
        <v>25171</v>
      </c>
      <c r="L41" s="143">
        <v>20139</v>
      </c>
      <c r="M41" s="143">
        <v>1321979</v>
      </c>
      <c r="N41" s="143">
        <v>329970</v>
      </c>
      <c r="O41" s="143">
        <v>1651949</v>
      </c>
      <c r="R41" s="143">
        <v>181096</v>
      </c>
      <c r="S41" s="143">
        <v>56412</v>
      </c>
    </row>
    <row r="42" spans="1:19">
      <c r="A42" s="143" t="s">
        <v>314</v>
      </c>
      <c r="B42" s="143">
        <v>1130390.3999999999</v>
      </c>
      <c r="C42" s="143">
        <v>384190</v>
      </c>
      <c r="D42" s="143">
        <v>1514580.4</v>
      </c>
      <c r="E42" s="143">
        <v>921332.4</v>
      </c>
      <c r="F42" s="143">
        <v>123998</v>
      </c>
      <c r="G42" s="143">
        <v>208032</v>
      </c>
      <c r="H42" s="143">
        <v>157908.5</v>
      </c>
      <c r="I42" s="143">
        <v>15208.5</v>
      </c>
      <c r="J42" s="143">
        <v>15231</v>
      </c>
      <c r="K42" s="143">
        <v>19684</v>
      </c>
      <c r="L42" s="143">
        <v>20340</v>
      </c>
      <c r="M42" s="143">
        <v>1273702.3999999999</v>
      </c>
      <c r="N42" s="143">
        <v>240878</v>
      </c>
      <c r="O42" s="143">
        <v>1514580.4</v>
      </c>
      <c r="R42" s="143">
        <v>169534.5</v>
      </c>
      <c r="S42" s="143">
        <v>58837.5</v>
      </c>
    </row>
    <row r="43" spans="1:19">
      <c r="A43" s="143" t="s">
        <v>315</v>
      </c>
      <c r="B43" s="143">
        <v>1126416</v>
      </c>
      <c r="C43" s="143">
        <v>358449</v>
      </c>
      <c r="D43" s="143">
        <v>1484865</v>
      </c>
      <c r="E43" s="143">
        <v>912052</v>
      </c>
      <c r="F43" s="143">
        <v>141457</v>
      </c>
      <c r="G43" s="143">
        <v>206308</v>
      </c>
      <c r="H43" s="143">
        <v>161067</v>
      </c>
      <c r="I43" s="143">
        <v>11650</v>
      </c>
      <c r="J43" s="143">
        <v>13769</v>
      </c>
      <c r="K43" s="143">
        <v>19822</v>
      </c>
      <c r="L43" s="143">
        <v>20543</v>
      </c>
      <c r="M43" s="143">
        <v>1280360</v>
      </c>
      <c r="N43" s="143">
        <v>204505</v>
      </c>
      <c r="O43" s="143">
        <v>1484865</v>
      </c>
      <c r="R43" s="143">
        <v>162659</v>
      </c>
      <c r="S43" s="143">
        <v>64192</v>
      </c>
    </row>
    <row r="44" spans="1:19">
      <c r="A44" s="143" t="s">
        <v>316</v>
      </c>
      <c r="B44" s="143">
        <v>1157007</v>
      </c>
      <c r="C44" s="143">
        <v>352714</v>
      </c>
      <c r="D44" s="143">
        <v>1509721</v>
      </c>
      <c r="E44" s="143">
        <v>994939</v>
      </c>
      <c r="F44" s="143">
        <v>123835</v>
      </c>
      <c r="G44" s="143">
        <v>166407</v>
      </c>
      <c r="H44" s="143">
        <v>124505</v>
      </c>
      <c r="I44" s="143">
        <v>12233</v>
      </c>
      <c r="J44" s="143">
        <v>11235</v>
      </c>
      <c r="K44" s="143">
        <v>18434</v>
      </c>
      <c r="L44" s="143">
        <v>20853</v>
      </c>
      <c r="M44" s="143">
        <v>1306034</v>
      </c>
      <c r="N44" s="143">
        <v>203687</v>
      </c>
      <c r="O44" s="143">
        <v>1509721</v>
      </c>
      <c r="R44" s="143">
        <v>146627</v>
      </c>
      <c r="S44" s="143">
        <v>40633</v>
      </c>
    </row>
    <row r="45" spans="1:19">
      <c r="A45" s="143" t="s">
        <v>317</v>
      </c>
      <c r="B45" s="143">
        <v>1130190</v>
      </c>
      <c r="C45" s="143">
        <v>330493</v>
      </c>
      <c r="D45" s="143">
        <v>1460683</v>
      </c>
      <c r="E45" s="143">
        <v>949411</v>
      </c>
      <c r="F45" s="143">
        <v>111833</v>
      </c>
      <c r="G45" s="143">
        <v>145855</v>
      </c>
      <c r="H45" s="143">
        <v>112055</v>
      </c>
      <c r="I45" s="143">
        <v>8123</v>
      </c>
      <c r="J45" s="143">
        <v>9494</v>
      </c>
      <c r="K45" s="143">
        <v>16184</v>
      </c>
      <c r="L45" s="143">
        <v>20770</v>
      </c>
      <c r="M45" s="143">
        <v>1227869</v>
      </c>
      <c r="N45" s="143">
        <v>232814</v>
      </c>
      <c r="O45" s="143">
        <v>1460683</v>
      </c>
      <c r="R45" s="143">
        <v>124531</v>
      </c>
      <c r="S45" s="143">
        <v>42094</v>
      </c>
    </row>
    <row r="46" spans="1:19">
      <c r="A46" s="143" t="s">
        <v>318</v>
      </c>
      <c r="B46" s="143">
        <v>1159016</v>
      </c>
      <c r="C46" s="143">
        <v>381389</v>
      </c>
      <c r="D46" s="143">
        <v>1540405</v>
      </c>
      <c r="E46" s="143">
        <v>994848</v>
      </c>
      <c r="F46" s="143">
        <v>103781</v>
      </c>
      <c r="G46" s="143">
        <v>157460</v>
      </c>
      <c r="H46" s="143">
        <v>118442</v>
      </c>
      <c r="I46" s="143">
        <v>9317</v>
      </c>
      <c r="J46" s="143">
        <v>8678</v>
      </c>
      <c r="K46" s="143">
        <v>21023</v>
      </c>
      <c r="L46" s="143">
        <v>20770</v>
      </c>
      <c r="M46" s="143">
        <v>1276859</v>
      </c>
      <c r="N46" s="143">
        <v>263546</v>
      </c>
      <c r="O46" s="143">
        <v>1540405</v>
      </c>
      <c r="R46" s="143">
        <v>138662</v>
      </c>
      <c r="S46" s="143">
        <v>39568</v>
      </c>
    </row>
    <row r="47" spans="1:19">
      <c r="B47" s="137" t="s">
        <v>333</v>
      </c>
      <c r="C47" s="137" t="s">
        <v>334</v>
      </c>
      <c r="D47" s="137" t="s">
        <v>335</v>
      </c>
      <c r="E47" s="137" t="s">
        <v>336</v>
      </c>
      <c r="F47" s="137" t="s">
        <v>337</v>
      </c>
      <c r="G47" s="137" t="s">
        <v>338</v>
      </c>
      <c r="H47" s="137" t="s">
        <v>339</v>
      </c>
      <c r="I47" s="137" t="s">
        <v>340</v>
      </c>
      <c r="J47" s="137" t="s">
        <v>341</v>
      </c>
      <c r="K47" s="137" t="s">
        <v>342</v>
      </c>
      <c r="L47" s="137" t="s">
        <v>343</v>
      </c>
      <c r="M47" s="137" t="s">
        <v>344</v>
      </c>
      <c r="N47" s="137" t="s">
        <v>345</v>
      </c>
      <c r="O47" s="137" t="s">
        <v>346</v>
      </c>
      <c r="R47" s="137" t="s">
        <v>346</v>
      </c>
      <c r="S47" s="137" t="s">
        <v>349</v>
      </c>
    </row>
    <row r="51" spans="1:19">
      <c r="B51" s="466" t="s">
        <v>319</v>
      </c>
      <c r="C51" s="466"/>
      <c r="D51" s="466"/>
      <c r="E51" s="467" t="s">
        <v>321</v>
      </c>
      <c r="F51" s="467"/>
      <c r="G51" s="467"/>
      <c r="H51" s="467"/>
      <c r="I51" s="467"/>
      <c r="J51" s="467"/>
      <c r="K51" s="467"/>
      <c r="L51" s="467"/>
      <c r="M51" s="467"/>
      <c r="N51" s="467"/>
      <c r="O51" s="467"/>
      <c r="R51" s="469" t="s">
        <v>347</v>
      </c>
      <c r="S51" s="469"/>
    </row>
    <row r="52" spans="1:19" s="138" customFormat="1" ht="28.8">
      <c r="B52" s="139" t="s">
        <v>326</v>
      </c>
      <c r="C52" s="139" t="s">
        <v>320</v>
      </c>
      <c r="D52" s="139" t="s">
        <v>319</v>
      </c>
      <c r="E52" s="140" t="s">
        <v>322</v>
      </c>
      <c r="F52" s="140" t="s">
        <v>328</v>
      </c>
      <c r="G52" s="140" t="s">
        <v>327</v>
      </c>
      <c r="H52" s="141" t="s">
        <v>329</v>
      </c>
      <c r="I52" s="141" t="s">
        <v>330</v>
      </c>
      <c r="J52" s="141" t="s">
        <v>331</v>
      </c>
      <c r="K52" s="141" t="s">
        <v>332</v>
      </c>
      <c r="L52" s="140" t="s">
        <v>323</v>
      </c>
      <c r="M52" s="140" t="s">
        <v>324</v>
      </c>
      <c r="N52" s="140" t="s">
        <v>325</v>
      </c>
      <c r="O52" s="140" t="s">
        <v>321</v>
      </c>
      <c r="R52" s="142" t="s">
        <v>348</v>
      </c>
      <c r="S52" s="142" t="s">
        <v>230</v>
      </c>
    </row>
    <row r="53" spans="1:19">
      <c r="A53" s="143" t="s">
        <v>297</v>
      </c>
      <c r="B53" s="143">
        <v>204988</v>
      </c>
      <c r="C53" s="143">
        <v>7200</v>
      </c>
      <c r="D53" s="143">
        <v>212188</v>
      </c>
      <c r="E53" s="145">
        <f>E5/B5</f>
        <v>0.84740570179717833</v>
      </c>
      <c r="F53" s="145">
        <f>F5/B5</f>
        <v>7.2696938357367263E-2</v>
      </c>
      <c r="G53" s="145">
        <f>G5/B5</f>
        <v>7.4053115304310496E-2</v>
      </c>
      <c r="H53" s="145">
        <f>H5/B5</f>
        <v>3.7768064472066661E-2</v>
      </c>
      <c r="I53" s="145">
        <f>I5/B5</f>
        <v>1.406911624095069E-2</v>
      </c>
      <c r="J53" s="146">
        <f>J5/B5</f>
        <v>2.2196421253927057E-3</v>
      </c>
      <c r="K53" s="145">
        <f>K5/B5</f>
        <v>1.9996292465900442E-2</v>
      </c>
      <c r="L53" s="145">
        <f>L5/B5</f>
        <v>1.0746970554373915E-2</v>
      </c>
      <c r="M53" s="143">
        <v>205993</v>
      </c>
      <c r="N53" s="143">
        <v>6195</v>
      </c>
      <c r="O53" s="143">
        <v>212188</v>
      </c>
      <c r="R53" s="143">
        <v>14428</v>
      </c>
      <c r="S53" s="143">
        <v>2955</v>
      </c>
    </row>
    <row r="54" spans="1:19">
      <c r="A54" s="143" t="s">
        <v>298</v>
      </c>
      <c r="B54" s="143">
        <v>213598</v>
      </c>
      <c r="C54" s="143">
        <v>6774</v>
      </c>
      <c r="D54" s="143">
        <v>220372</v>
      </c>
      <c r="E54" s="145">
        <f t="shared" ref="E54:E94" si="0">E6/B6</f>
        <v>0.85392185320087266</v>
      </c>
      <c r="F54" s="145">
        <f t="shared" ref="F54:F94" si="1">F6/B6</f>
        <v>7.2158915345649305E-2</v>
      </c>
      <c r="G54" s="145">
        <f t="shared" ref="G54:G94" si="2">G6/B6</f>
        <v>6.7219730521821369E-2</v>
      </c>
      <c r="H54" s="145">
        <f t="shared" ref="H54:H94" si="3">H6/B6</f>
        <v>4.033277465144805E-2</v>
      </c>
      <c r="I54" s="145">
        <f t="shared" ref="I54:I94" si="4">I6/B6</f>
        <v>1.0084364085806046E-2</v>
      </c>
      <c r="J54" s="145">
        <f t="shared" ref="J54:J94" si="5">J6/B6</f>
        <v>2.0178091555164376E-3</v>
      </c>
      <c r="K54" s="145">
        <f t="shared" ref="K54:K94" si="6">K6/B6</f>
        <v>1.4784782629050834E-2</v>
      </c>
      <c r="L54" s="145">
        <f t="shared" ref="L54:L94" si="7">L6/B6</f>
        <v>1.015458946244815E-2</v>
      </c>
      <c r="M54" s="143">
        <v>214336</v>
      </c>
      <c r="N54" s="143">
        <v>6036</v>
      </c>
      <c r="O54" s="143">
        <v>220372</v>
      </c>
      <c r="R54" s="143">
        <v>13255</v>
      </c>
      <c r="S54" s="143">
        <v>3272</v>
      </c>
    </row>
    <row r="55" spans="1:19">
      <c r="A55" s="143" t="s">
        <v>299</v>
      </c>
      <c r="B55" s="143">
        <v>222569</v>
      </c>
      <c r="C55" s="143">
        <v>7962</v>
      </c>
      <c r="D55" s="143">
        <v>230531</v>
      </c>
      <c r="E55" s="145">
        <f t="shared" si="0"/>
        <v>0.84681604356401829</v>
      </c>
      <c r="F55" s="145">
        <f t="shared" si="1"/>
        <v>7.2548288395958102E-2</v>
      </c>
      <c r="G55" s="145">
        <f t="shared" si="2"/>
        <v>7.6380807749506896E-2</v>
      </c>
      <c r="H55" s="145">
        <f t="shared" si="3"/>
        <v>4.2773252339723858E-2</v>
      </c>
      <c r="I55" s="145">
        <f t="shared" si="4"/>
        <v>1.2220929239921104E-2</v>
      </c>
      <c r="J55" s="145">
        <f t="shared" si="5"/>
        <v>3.055232309980276E-3</v>
      </c>
      <c r="K55" s="145">
        <f t="shared" si="6"/>
        <v>1.8331393859881653E-2</v>
      </c>
      <c r="L55" s="145">
        <f t="shared" si="7"/>
        <v>9.4442622287919699E-3</v>
      </c>
      <c r="M55" s="143">
        <v>223724</v>
      </c>
      <c r="N55" s="143">
        <v>6807</v>
      </c>
      <c r="O55" s="143">
        <v>230531</v>
      </c>
      <c r="R55" s="143">
        <v>15988</v>
      </c>
      <c r="S55" s="143">
        <v>3114</v>
      </c>
    </row>
    <row r="56" spans="1:19">
      <c r="A56" s="143" t="s">
        <v>300</v>
      </c>
      <c r="B56" s="143">
        <v>235255</v>
      </c>
      <c r="C56" s="143">
        <v>9503</v>
      </c>
      <c r="D56" s="143">
        <v>244758</v>
      </c>
      <c r="E56" s="145">
        <f t="shared" si="0"/>
        <v>0.81755116788166038</v>
      </c>
      <c r="F56" s="145">
        <f t="shared" si="1"/>
        <v>7.1658413211196356E-2</v>
      </c>
      <c r="G56" s="145">
        <f t="shared" si="2"/>
        <v>0.10447386878068479</v>
      </c>
      <c r="H56" s="145">
        <f t="shared" si="3"/>
        <v>4.7012815880640157E-2</v>
      </c>
      <c r="I56" s="145">
        <f t="shared" si="4"/>
        <v>1.5672355529106716E-2</v>
      </c>
      <c r="J56" s="145">
        <f t="shared" si="5"/>
        <v>4.1784446664257929E-3</v>
      </c>
      <c r="K56" s="145">
        <f t="shared" si="6"/>
        <v>3.7610252704512126E-2</v>
      </c>
      <c r="L56" s="145">
        <f t="shared" si="7"/>
        <v>8.3526386261716015E-3</v>
      </c>
      <c r="M56" s="143">
        <v>235734</v>
      </c>
      <c r="N56" s="143">
        <v>9024</v>
      </c>
      <c r="O56" s="143">
        <v>244758</v>
      </c>
      <c r="R56" s="143">
        <v>22800</v>
      </c>
      <c r="S56" s="143">
        <v>3743</v>
      </c>
    </row>
    <row r="57" spans="1:19">
      <c r="A57" s="143" t="s">
        <v>301</v>
      </c>
      <c r="B57" s="143">
        <v>238784</v>
      </c>
      <c r="C57" s="143">
        <v>10228</v>
      </c>
      <c r="D57" s="143">
        <v>249012</v>
      </c>
      <c r="E57" s="145">
        <f t="shared" si="0"/>
        <v>0.79969763468239075</v>
      </c>
      <c r="F57" s="145">
        <f t="shared" si="1"/>
        <v>8.291175288126508E-2</v>
      </c>
      <c r="G57" s="145">
        <f t="shared" si="2"/>
        <v>0.12155755829536317</v>
      </c>
      <c r="H57" s="145">
        <f t="shared" si="3"/>
        <v>5.7131131064057893E-2</v>
      </c>
      <c r="I57" s="145">
        <f t="shared" si="4"/>
        <v>1.9448539265612436E-2</v>
      </c>
      <c r="J57" s="145">
        <f t="shared" si="5"/>
        <v>8.5097829000268018E-3</v>
      </c>
      <c r="K57" s="145">
        <f t="shared" si="6"/>
        <v>3.6468105065666043E-2</v>
      </c>
      <c r="L57" s="145">
        <f t="shared" si="7"/>
        <v>3.5178236397748592E-3</v>
      </c>
      <c r="M57" s="143">
        <v>240619</v>
      </c>
      <c r="N57" s="143">
        <v>8393</v>
      </c>
      <c r="O57" s="143">
        <v>249012</v>
      </c>
      <c r="R57" s="143">
        <v>21892</v>
      </c>
      <c r="S57" s="143">
        <v>7974</v>
      </c>
    </row>
    <row r="58" spans="1:19">
      <c r="A58" s="143" t="s">
        <v>302</v>
      </c>
      <c r="B58" s="143">
        <v>259797</v>
      </c>
      <c r="C58" s="143">
        <v>10471</v>
      </c>
      <c r="D58" s="143">
        <v>270268</v>
      </c>
      <c r="E58" s="145">
        <f t="shared" si="0"/>
        <v>0.80231103515437052</v>
      </c>
      <c r="F58" s="145">
        <f t="shared" si="1"/>
        <v>7.9146410466633565E-2</v>
      </c>
      <c r="G58" s="145">
        <f t="shared" si="2"/>
        <v>0.12453184601823732</v>
      </c>
      <c r="H58" s="145">
        <f t="shared" si="3"/>
        <v>6.1020720023710819E-2</v>
      </c>
      <c r="I58" s="145">
        <f t="shared" si="4"/>
        <v>1.7432841795709728E-2</v>
      </c>
      <c r="J58" s="145">
        <f t="shared" si="5"/>
        <v>6.2279395066147797E-3</v>
      </c>
      <c r="K58" s="145">
        <f t="shared" si="6"/>
        <v>3.9850344692201986E-2</v>
      </c>
      <c r="L58" s="145">
        <f t="shared" si="7"/>
        <v>2.8021878620615327E-3</v>
      </c>
      <c r="M58" s="143">
        <v>262081</v>
      </c>
      <c r="N58" s="143">
        <v>8187</v>
      </c>
      <c r="O58" s="143">
        <v>270268</v>
      </c>
      <c r="R58" s="143">
        <v>20742</v>
      </c>
      <c r="S58" s="143">
        <v>12339</v>
      </c>
    </row>
    <row r="59" spans="1:19">
      <c r="A59" s="143" t="s">
        <v>303</v>
      </c>
      <c r="B59" s="143">
        <v>268890</v>
      </c>
      <c r="C59" s="143">
        <v>11808</v>
      </c>
      <c r="D59" s="143">
        <v>280698</v>
      </c>
      <c r="E59" s="145">
        <f t="shared" si="0"/>
        <v>0.8</v>
      </c>
      <c r="F59" s="145">
        <f t="shared" si="1"/>
        <v>8.5127747406002457E-2</v>
      </c>
      <c r="G59" s="145">
        <f t="shared" si="2"/>
        <v>0.12157759678679014</v>
      </c>
      <c r="H59" s="145">
        <f t="shared" si="3"/>
        <v>5.4710104503700396E-2</v>
      </c>
      <c r="I59" s="145">
        <f t="shared" si="4"/>
        <v>2.1882554204321471E-2</v>
      </c>
      <c r="J59" s="145">
        <f t="shared" si="5"/>
        <v>6.0805533861430323E-3</v>
      </c>
      <c r="K59" s="145">
        <f t="shared" si="6"/>
        <v>3.8904384692625235E-2</v>
      </c>
      <c r="L59" s="145">
        <f t="shared" si="7"/>
        <v>4.8607237160177025E-3</v>
      </c>
      <c r="M59" s="143">
        <v>272000</v>
      </c>
      <c r="N59" s="143">
        <v>8698</v>
      </c>
      <c r="O59" s="143">
        <v>280698</v>
      </c>
      <c r="R59" s="143">
        <v>18937</v>
      </c>
      <c r="S59" s="143">
        <v>15061</v>
      </c>
    </row>
    <row r="60" spans="1:19">
      <c r="A60" s="143" t="s">
        <v>304</v>
      </c>
      <c r="B60" s="143">
        <v>280721</v>
      </c>
      <c r="C60" s="143">
        <v>13771</v>
      </c>
      <c r="D60" s="143">
        <v>294492</v>
      </c>
      <c r="E60" s="145">
        <f t="shared" si="0"/>
        <v>0.7920533198442582</v>
      </c>
      <c r="F60" s="145">
        <f t="shared" si="1"/>
        <v>8.7424880931601126E-2</v>
      </c>
      <c r="G60" s="145">
        <f t="shared" si="2"/>
        <v>0.12670587522842966</v>
      </c>
      <c r="H60" s="145">
        <f t="shared" si="3"/>
        <v>5.9550229587383915E-2</v>
      </c>
      <c r="I60" s="145">
        <f t="shared" si="4"/>
        <v>3.0410977447358767E-2</v>
      </c>
      <c r="J60" s="145">
        <f t="shared" si="5"/>
        <v>2.532763847378714E-3</v>
      </c>
      <c r="K60" s="145">
        <f t="shared" si="6"/>
        <v>3.4211904346308254E-2</v>
      </c>
      <c r="L60" s="145">
        <f t="shared" si="7"/>
        <v>6.2802569098856162E-3</v>
      </c>
      <c r="M60" s="143">
        <v>284220</v>
      </c>
      <c r="N60" s="143">
        <v>10272</v>
      </c>
      <c r="O60" s="143">
        <v>294492</v>
      </c>
      <c r="R60" s="143">
        <v>24228</v>
      </c>
      <c r="S60" s="143">
        <v>13104</v>
      </c>
    </row>
    <row r="61" spans="1:19">
      <c r="A61" s="143" t="s">
        <v>305</v>
      </c>
      <c r="B61" s="143">
        <v>295319</v>
      </c>
      <c r="C61" s="143">
        <v>13037</v>
      </c>
      <c r="D61" s="143">
        <v>308356</v>
      </c>
      <c r="E61" s="145">
        <f t="shared" si="0"/>
        <v>0.79245832472682087</v>
      </c>
      <c r="F61" s="145">
        <f t="shared" si="1"/>
        <v>8.709226294278391E-2</v>
      </c>
      <c r="G61" s="145">
        <f t="shared" si="2"/>
        <v>0.12162102675412012</v>
      </c>
      <c r="H61" s="145">
        <f t="shared" si="3"/>
        <v>6.0812206461487411E-2</v>
      </c>
      <c r="I61" s="145">
        <f t="shared" si="4"/>
        <v>2.0675947026774437E-2</v>
      </c>
      <c r="J61" s="145">
        <f t="shared" si="5"/>
        <v>3.6469038565077085E-3</v>
      </c>
      <c r="K61" s="145">
        <f t="shared" si="6"/>
        <v>3.6485969409350567E-2</v>
      </c>
      <c r="L61" s="145">
        <f t="shared" si="7"/>
        <v>2.1265140407491561E-3</v>
      </c>
      <c r="M61" s="143">
        <v>296293</v>
      </c>
      <c r="N61" s="143">
        <v>12063</v>
      </c>
      <c r="O61" s="143">
        <v>308356</v>
      </c>
      <c r="R61" s="143">
        <v>26751</v>
      </c>
      <c r="S61" s="143">
        <v>9794</v>
      </c>
    </row>
    <row r="62" spans="1:19">
      <c r="A62" s="143" t="s">
        <v>306</v>
      </c>
      <c r="B62" s="143">
        <v>312152</v>
      </c>
      <c r="C62" s="143">
        <v>14410</v>
      </c>
      <c r="D62" s="143">
        <v>326562</v>
      </c>
      <c r="E62" s="145">
        <f t="shared" si="0"/>
        <v>0.79354609292908584</v>
      </c>
      <c r="F62" s="145">
        <f t="shared" si="1"/>
        <v>8.3254312001845257E-2</v>
      </c>
      <c r="G62" s="145">
        <f t="shared" si="2"/>
        <v>0.12558945641866784</v>
      </c>
      <c r="H62" s="145">
        <f t="shared" si="3"/>
        <v>6.7819523821727873E-2</v>
      </c>
      <c r="I62" s="145">
        <f t="shared" si="4"/>
        <v>1.8836976857428432E-2</v>
      </c>
      <c r="J62" s="145">
        <f t="shared" si="5"/>
        <v>3.7673953714856866E-3</v>
      </c>
      <c r="K62" s="145">
        <f t="shared" si="6"/>
        <v>3.5165560368025831E-2</v>
      </c>
      <c r="L62" s="145">
        <f t="shared" si="7"/>
        <v>5.0456188010969015E-3</v>
      </c>
      <c r="M62" s="143">
        <v>314473</v>
      </c>
      <c r="N62" s="143">
        <v>12089</v>
      </c>
      <c r="O62" s="143">
        <v>326562</v>
      </c>
      <c r="R62" s="143">
        <v>29970</v>
      </c>
      <c r="S62" s="143">
        <v>10808</v>
      </c>
    </row>
    <row r="63" spans="1:19">
      <c r="A63" s="143" t="s">
        <v>307</v>
      </c>
      <c r="B63" s="143">
        <v>333066</v>
      </c>
      <c r="C63" s="143">
        <v>14474</v>
      </c>
      <c r="D63" s="143">
        <v>347540</v>
      </c>
      <c r="E63" s="145">
        <f t="shared" si="0"/>
        <v>0.77283481352044336</v>
      </c>
      <c r="F63" s="145">
        <f t="shared" si="1"/>
        <v>8.0173298985786595E-2</v>
      </c>
      <c r="G63" s="145">
        <f t="shared" si="2"/>
        <v>0.13280551001903526</v>
      </c>
      <c r="H63" s="145">
        <f t="shared" si="3"/>
        <v>6.6404256213483212E-2</v>
      </c>
      <c r="I63" s="145">
        <f t="shared" si="4"/>
        <v>1.859391231767878E-2</v>
      </c>
      <c r="J63" s="145">
        <f t="shared" si="5"/>
        <v>1.0622519260446878E-2</v>
      </c>
      <c r="K63" s="145">
        <f t="shared" si="6"/>
        <v>3.7184822227426396E-2</v>
      </c>
      <c r="L63" s="145">
        <f t="shared" si="7"/>
        <v>1.4411558069571796E-2</v>
      </c>
      <c r="M63" s="143">
        <v>333141</v>
      </c>
      <c r="N63" s="143">
        <v>14399</v>
      </c>
      <c r="O63" s="143">
        <v>347540</v>
      </c>
      <c r="R63" s="143">
        <v>34813</v>
      </c>
      <c r="S63" s="143">
        <v>14220</v>
      </c>
    </row>
    <row r="64" spans="1:19">
      <c r="A64" s="143" t="s">
        <v>308</v>
      </c>
      <c r="B64" s="143">
        <v>358046</v>
      </c>
      <c r="C64" s="143">
        <v>19321</v>
      </c>
      <c r="D64" s="143">
        <v>377367</v>
      </c>
      <c r="E64" s="145">
        <f t="shared" si="0"/>
        <v>0.73113231260787725</v>
      </c>
      <c r="F64" s="145">
        <f t="shared" si="1"/>
        <v>7.0870781966562962E-2</v>
      </c>
      <c r="G64" s="145">
        <f t="shared" si="2"/>
        <v>0.16428336023862855</v>
      </c>
      <c r="H64" s="145">
        <f t="shared" si="3"/>
        <v>7.2284008200063685E-2</v>
      </c>
      <c r="I64" s="145">
        <f t="shared" si="4"/>
        <v>2.299983800964122E-2</v>
      </c>
      <c r="J64" s="145">
        <f t="shared" si="5"/>
        <v>1.1498522536210431E-2</v>
      </c>
      <c r="K64" s="145">
        <f t="shared" si="6"/>
        <v>5.7500991492713226E-2</v>
      </c>
      <c r="L64" s="145">
        <f t="shared" si="7"/>
        <v>3.1090977137015915E-2</v>
      </c>
      <c r="M64" s="143">
        <v>357107</v>
      </c>
      <c r="N64" s="143">
        <v>20260</v>
      </c>
      <c r="O64" s="143">
        <v>377367</v>
      </c>
      <c r="R64" s="143">
        <v>55263</v>
      </c>
      <c r="S64" s="143">
        <v>14690</v>
      </c>
    </row>
    <row r="65" spans="1:19">
      <c r="A65" s="143" t="s">
        <v>309</v>
      </c>
      <c r="B65" s="143">
        <v>388480</v>
      </c>
      <c r="C65" s="143">
        <v>32240</v>
      </c>
      <c r="D65" s="143">
        <v>420720</v>
      </c>
      <c r="E65" s="145">
        <f t="shared" si="0"/>
        <v>0.74864600494233935</v>
      </c>
      <c r="F65" s="145">
        <f t="shared" si="1"/>
        <v>6.0777903624382207E-2</v>
      </c>
      <c r="G65" s="145">
        <f t="shared" si="2"/>
        <v>0.17215043245469522</v>
      </c>
      <c r="H65" s="145">
        <f t="shared" si="3"/>
        <v>7.9188117792421742E-2</v>
      </c>
      <c r="I65" s="145">
        <f t="shared" si="4"/>
        <v>2.9265341845140035E-2</v>
      </c>
      <c r="J65" s="145">
        <f t="shared" si="5"/>
        <v>8.6079077429983518E-3</v>
      </c>
      <c r="K65" s="145">
        <f t="shared" si="6"/>
        <v>5.5089065074135093E-2</v>
      </c>
      <c r="L65" s="145">
        <f t="shared" si="7"/>
        <v>2.9018224876441515E-2</v>
      </c>
      <c r="M65" s="143">
        <v>392595</v>
      </c>
      <c r="N65" s="143">
        <v>28125</v>
      </c>
      <c r="O65" s="143">
        <v>420720</v>
      </c>
      <c r="R65" s="143">
        <v>66271</v>
      </c>
      <c r="S65" s="143">
        <v>11879</v>
      </c>
    </row>
    <row r="66" spans="1:19">
      <c r="A66" s="143" t="s">
        <v>310</v>
      </c>
      <c r="B66" s="143">
        <v>416451</v>
      </c>
      <c r="C66" s="143">
        <v>38373</v>
      </c>
      <c r="D66" s="143">
        <v>454824</v>
      </c>
      <c r="E66" s="145">
        <f t="shared" si="0"/>
        <v>0.76817200583021772</v>
      </c>
      <c r="F66" s="145">
        <f t="shared" si="1"/>
        <v>6.9530388929309808E-2</v>
      </c>
      <c r="G66" s="145">
        <f t="shared" si="2"/>
        <v>0.15241168828985882</v>
      </c>
      <c r="H66" s="145">
        <f t="shared" si="3"/>
        <v>7.3156265683117588E-2</v>
      </c>
      <c r="I66" s="145">
        <f t="shared" si="4"/>
        <v>3.2006166391724357E-2</v>
      </c>
      <c r="J66" s="145">
        <f t="shared" si="5"/>
        <v>7.6215449116462681E-3</v>
      </c>
      <c r="K66" s="145">
        <f t="shared" si="6"/>
        <v>3.9627711303370623E-2</v>
      </c>
      <c r="L66" s="145">
        <f t="shared" si="7"/>
        <v>3.6830263344307015E-2</v>
      </c>
      <c r="M66" s="143">
        <v>427672</v>
      </c>
      <c r="N66" s="143">
        <v>27152</v>
      </c>
      <c r="O66" s="143">
        <v>454824</v>
      </c>
      <c r="R66" s="143">
        <v>61155</v>
      </c>
      <c r="S66" s="143">
        <v>17655</v>
      </c>
    </row>
    <row r="67" spans="1:19">
      <c r="A67" s="143">
        <v>1976</v>
      </c>
      <c r="B67" s="143">
        <v>446656</v>
      </c>
      <c r="C67" s="143">
        <v>69203</v>
      </c>
      <c r="D67" s="143">
        <v>515859</v>
      </c>
      <c r="E67" s="145">
        <f t="shared" si="0"/>
        <v>0.75994501361226541</v>
      </c>
      <c r="F67" s="145">
        <f t="shared" si="1"/>
        <v>6.7530717151454367E-2</v>
      </c>
      <c r="G67" s="145">
        <f t="shared" si="2"/>
        <v>0.19558228256197163</v>
      </c>
      <c r="H67" s="145">
        <f t="shared" si="3"/>
        <v>9.5982142857142863E-2</v>
      </c>
      <c r="I67" s="145">
        <f t="shared" si="4"/>
        <v>3.8577786932225244E-2</v>
      </c>
      <c r="J67" s="145">
        <f t="shared" si="5"/>
        <v>1.0773391603381574E-2</v>
      </c>
      <c r="K67" s="145">
        <f t="shared" si="6"/>
        <v>5.0248961169221951E-2</v>
      </c>
      <c r="L67" s="145">
        <f t="shared" si="7"/>
        <v>2.0528102163633759E-2</v>
      </c>
      <c r="M67" s="143">
        <v>466124</v>
      </c>
      <c r="N67" s="143">
        <v>49735</v>
      </c>
      <c r="O67" s="143">
        <v>515859</v>
      </c>
      <c r="R67" s="143">
        <v>61699</v>
      </c>
      <c r="S67" s="143">
        <v>34828</v>
      </c>
    </row>
    <row r="68" spans="1:19">
      <c r="A68" s="143">
        <v>1977</v>
      </c>
      <c r="B68" s="143">
        <v>495493</v>
      </c>
      <c r="C68" s="143">
        <v>97620</v>
      </c>
      <c r="D68" s="143">
        <v>593113</v>
      </c>
      <c r="E68" s="145">
        <f t="shared" si="0"/>
        <v>0.78345809123438681</v>
      </c>
      <c r="F68" s="145">
        <f t="shared" si="1"/>
        <v>6.9682114580831622E-2</v>
      </c>
      <c r="G68" s="145">
        <f t="shared" si="2"/>
        <v>0.20955290993011</v>
      </c>
      <c r="H68" s="145">
        <f t="shared" si="3"/>
        <v>9.2584557198588074E-2</v>
      </c>
      <c r="I68" s="145">
        <f t="shared" si="4"/>
        <v>5.5217732642035305E-2</v>
      </c>
      <c r="J68" s="145">
        <f t="shared" si="5"/>
        <v>6.9001983882718831E-3</v>
      </c>
      <c r="K68" s="145">
        <f t="shared" si="6"/>
        <v>5.4850421701214749E-2</v>
      </c>
      <c r="L68" s="145">
        <f t="shared" si="7"/>
        <v>9.1726825606012596E-3</v>
      </c>
      <c r="M68" s="143">
        <v>531102</v>
      </c>
      <c r="N68" s="143">
        <v>62011</v>
      </c>
      <c r="O68" s="143">
        <v>593113</v>
      </c>
      <c r="R68" s="143">
        <v>70317</v>
      </c>
      <c r="S68" s="143">
        <v>38060</v>
      </c>
    </row>
    <row r="69" spans="1:19">
      <c r="A69" s="143">
        <v>1978</v>
      </c>
      <c r="B69" s="143">
        <v>551732</v>
      </c>
      <c r="C69" s="143">
        <v>110759</v>
      </c>
      <c r="D69" s="143">
        <v>662491</v>
      </c>
      <c r="E69" s="145">
        <f t="shared" si="0"/>
        <v>0.7417840545772223</v>
      </c>
      <c r="F69" s="145">
        <f t="shared" si="1"/>
        <v>7.2943023061921367E-2</v>
      </c>
      <c r="G69" s="145">
        <f t="shared" si="2"/>
        <v>0.22868711620859403</v>
      </c>
      <c r="H69" s="145">
        <f t="shared" si="3"/>
        <v>0.11457555479834412</v>
      </c>
      <c r="I69" s="145">
        <f t="shared" si="4"/>
        <v>6.3481907882812674E-2</v>
      </c>
      <c r="J69" s="145">
        <f t="shared" si="5"/>
        <v>5.9884146650910223E-3</v>
      </c>
      <c r="K69" s="145">
        <f t="shared" si="6"/>
        <v>4.4641238862346215E-2</v>
      </c>
      <c r="L69" s="145">
        <f t="shared" si="7"/>
        <v>2.2391305923890586E-2</v>
      </c>
      <c r="M69" s="143">
        <v>588039</v>
      </c>
      <c r="N69" s="143">
        <v>74452</v>
      </c>
      <c r="O69" s="143">
        <v>662491</v>
      </c>
      <c r="R69" s="143">
        <v>101571</v>
      </c>
      <c r="S69" s="143">
        <v>36957</v>
      </c>
    </row>
    <row r="70" spans="1:19">
      <c r="A70" s="143">
        <v>1979</v>
      </c>
      <c r="B70" s="143">
        <v>614392</v>
      </c>
      <c r="C70" s="143">
        <v>120522</v>
      </c>
      <c r="D70" s="143">
        <v>734914</v>
      </c>
      <c r="E70" s="145">
        <f t="shared" si="0"/>
        <v>0.65709514446802697</v>
      </c>
      <c r="F70" s="145">
        <f t="shared" si="1"/>
        <v>6.1026185236786934E-2</v>
      </c>
      <c r="G70" s="145">
        <f t="shared" si="2"/>
        <v>0.24550124350577482</v>
      </c>
      <c r="H70" s="145">
        <f t="shared" si="3"/>
        <v>0.12908208440214064</v>
      </c>
      <c r="I70" s="145">
        <f t="shared" si="4"/>
        <v>5.4258518991132695E-2</v>
      </c>
      <c r="J70" s="145">
        <f t="shared" si="5"/>
        <v>2.334014765817263E-3</v>
      </c>
      <c r="K70" s="145">
        <f t="shared" si="6"/>
        <v>5.9826625346684204E-2</v>
      </c>
      <c r="L70" s="145">
        <f t="shared" si="7"/>
        <v>1.6567598536439278E-2</v>
      </c>
      <c r="M70" s="143">
        <v>602221</v>
      </c>
      <c r="N70" s="143">
        <v>132693</v>
      </c>
      <c r="O70" s="143">
        <v>734914</v>
      </c>
      <c r="R70" s="143">
        <v>125080</v>
      </c>
      <c r="S70" s="143">
        <v>35933</v>
      </c>
    </row>
    <row r="71" spans="1:19">
      <c r="A71" s="143">
        <v>1980</v>
      </c>
      <c r="B71" s="143">
        <v>684686</v>
      </c>
      <c r="C71" s="143">
        <v>135225</v>
      </c>
      <c r="D71" s="143">
        <v>819911</v>
      </c>
      <c r="E71" s="145">
        <f t="shared" si="0"/>
        <v>0.69020397671341316</v>
      </c>
      <c r="F71" s="145">
        <f t="shared" si="1"/>
        <v>6.251478780053922E-2</v>
      </c>
      <c r="G71" s="145">
        <f t="shared" si="2"/>
        <v>0.26829670827211305</v>
      </c>
      <c r="H71" s="145">
        <f t="shared" si="3"/>
        <v>0.15871947140733125</v>
      </c>
      <c r="I71" s="145">
        <f t="shared" si="4"/>
        <v>5.3586607583622277E-2</v>
      </c>
      <c r="J71" s="145">
        <f t="shared" si="5"/>
        <v>4.4662808937235461E-3</v>
      </c>
      <c r="K71" s="145">
        <f t="shared" si="6"/>
        <v>5.1524348387435991E-2</v>
      </c>
      <c r="L71" s="145">
        <f t="shared" si="7"/>
        <v>1.5723996109165368E-2</v>
      </c>
      <c r="M71" s="143">
        <v>709841</v>
      </c>
      <c r="N71" s="143">
        <v>110070</v>
      </c>
      <c r="O71" s="143">
        <v>819911</v>
      </c>
      <c r="R71" s="143">
        <v>161534</v>
      </c>
      <c r="S71" s="143">
        <v>32931</v>
      </c>
    </row>
    <row r="72" spans="1:19">
      <c r="A72" s="143">
        <v>1981</v>
      </c>
      <c r="B72" s="143">
        <v>744361</v>
      </c>
      <c r="C72" s="143">
        <v>142188</v>
      </c>
      <c r="D72" s="143">
        <v>886549</v>
      </c>
      <c r="E72" s="145">
        <f t="shared" si="0"/>
        <v>0.70471451352233661</v>
      </c>
      <c r="F72" s="145">
        <f t="shared" si="1"/>
        <v>6.8684415223258605E-2</v>
      </c>
      <c r="G72" s="145">
        <f t="shared" si="2"/>
        <v>0.29120547691241211</v>
      </c>
      <c r="H72" s="145">
        <f t="shared" si="3"/>
        <v>0.18442261214652567</v>
      </c>
      <c r="I72" s="145">
        <f t="shared" si="4"/>
        <v>4.4181519450911588E-2</v>
      </c>
      <c r="J72" s="145">
        <f t="shared" si="5"/>
        <v>7.6347363711962339E-3</v>
      </c>
      <c r="K72" s="145">
        <f t="shared" si="6"/>
        <v>5.4966608943778625E-2</v>
      </c>
      <c r="L72" s="145">
        <f t="shared" si="7"/>
        <v>1.4429826388002595E-2</v>
      </c>
      <c r="M72" s="143">
        <v>803191</v>
      </c>
      <c r="N72" s="143">
        <v>83358</v>
      </c>
      <c r="O72" s="143">
        <v>886549</v>
      </c>
      <c r="R72" s="143">
        <v>189013</v>
      </c>
      <c r="S72" s="143">
        <v>38490</v>
      </c>
    </row>
    <row r="73" spans="1:19">
      <c r="A73" s="143">
        <v>1982</v>
      </c>
      <c r="B73" s="143">
        <v>737040</v>
      </c>
      <c r="C73" s="143">
        <v>145628</v>
      </c>
      <c r="D73" s="143">
        <v>882668</v>
      </c>
      <c r="E73" s="145">
        <f t="shared" si="0"/>
        <v>0.74896749158797349</v>
      </c>
      <c r="F73" s="145">
        <f t="shared" si="1"/>
        <v>7.0921523933572123E-2</v>
      </c>
      <c r="G73" s="145">
        <f t="shared" si="2"/>
        <v>0.23997476392054706</v>
      </c>
      <c r="H73" s="145">
        <f t="shared" si="3"/>
        <v>0.15688700748941714</v>
      </c>
      <c r="I73" s="145">
        <f t="shared" si="4"/>
        <v>2.6155975252360793E-2</v>
      </c>
      <c r="J73" s="145">
        <f t="shared" si="5"/>
        <v>9.0076522305437973E-3</v>
      </c>
      <c r="K73" s="145">
        <f t="shared" si="6"/>
        <v>4.7924128948225335E-2</v>
      </c>
      <c r="L73" s="145">
        <f t="shared" si="7"/>
        <v>1.6342396613480952E-2</v>
      </c>
      <c r="M73" s="143">
        <v>793207</v>
      </c>
      <c r="N73" s="143">
        <v>89461</v>
      </c>
      <c r="O73" s="143">
        <v>882668</v>
      </c>
      <c r="R73" s="143">
        <v>155735</v>
      </c>
      <c r="S73" s="143">
        <v>33181</v>
      </c>
    </row>
    <row r="74" spans="1:19">
      <c r="A74" s="143">
        <v>1983</v>
      </c>
      <c r="B74" s="143">
        <v>714929</v>
      </c>
      <c r="C74" s="143">
        <v>112736</v>
      </c>
      <c r="D74" s="143">
        <v>827665</v>
      </c>
      <c r="E74" s="145">
        <f t="shared" si="0"/>
        <v>0.76011044453365295</v>
      </c>
      <c r="F74" s="145">
        <f t="shared" si="1"/>
        <v>7.5418677938648454E-2</v>
      </c>
      <c r="G74" s="145">
        <f t="shared" si="2"/>
        <v>0.20307331217505514</v>
      </c>
      <c r="H74" s="145">
        <f t="shared" si="3"/>
        <v>0.15831642023193912</v>
      </c>
      <c r="I74" s="145">
        <f t="shared" si="4"/>
        <v>8.4847586263810809E-3</v>
      </c>
      <c r="J74" s="145">
        <f t="shared" si="5"/>
        <v>1.0119886030640806E-2</v>
      </c>
      <c r="K74" s="145">
        <f t="shared" si="6"/>
        <v>2.6152247286094145E-2</v>
      </c>
      <c r="L74" s="145">
        <f t="shared" si="7"/>
        <v>1.315375372939131E-2</v>
      </c>
      <c r="M74" s="143">
        <v>751931</v>
      </c>
      <c r="N74" s="143">
        <v>75734</v>
      </c>
      <c r="O74" s="143">
        <v>827665</v>
      </c>
      <c r="R74" s="143">
        <v>125502</v>
      </c>
      <c r="S74" s="143">
        <v>29085</v>
      </c>
    </row>
    <row r="75" spans="1:19">
      <c r="A75" s="143">
        <v>1984</v>
      </c>
      <c r="B75" s="143">
        <v>736906</v>
      </c>
      <c r="C75" s="143">
        <v>131693</v>
      </c>
      <c r="D75" s="143">
        <v>868599</v>
      </c>
      <c r="E75" s="145">
        <f t="shared" si="0"/>
        <v>0.76828659286259038</v>
      </c>
      <c r="F75" s="145">
        <f t="shared" si="1"/>
        <v>6.8875813197341318E-2</v>
      </c>
      <c r="G75" s="145">
        <f t="shared" si="2"/>
        <v>0.19872276789712665</v>
      </c>
      <c r="H75" s="145">
        <f t="shared" si="3"/>
        <v>0.12377155295247969</v>
      </c>
      <c r="I75" s="145">
        <f t="shared" si="4"/>
        <v>4.530971385766977E-2</v>
      </c>
      <c r="J75" s="145">
        <f t="shared" si="5"/>
        <v>2.2092369990202279E-3</v>
      </c>
      <c r="K75" s="145">
        <f t="shared" si="6"/>
        <v>2.7432264087956945E-2</v>
      </c>
      <c r="L75" s="145">
        <f t="shared" si="7"/>
        <v>1.4248764428570265E-2</v>
      </c>
      <c r="M75" s="143">
        <v>773850</v>
      </c>
      <c r="N75" s="143">
        <v>94749</v>
      </c>
      <c r="O75" s="143">
        <v>868599</v>
      </c>
      <c r="R75" s="143">
        <v>119655</v>
      </c>
      <c r="S75" s="143">
        <v>37285</v>
      </c>
    </row>
    <row r="76" spans="1:19">
      <c r="A76" s="143">
        <v>1985</v>
      </c>
      <c r="B76" s="143">
        <v>766158</v>
      </c>
      <c r="C76" s="143">
        <v>113152</v>
      </c>
      <c r="D76" s="143">
        <v>879310</v>
      </c>
      <c r="E76" s="145">
        <f t="shared" si="0"/>
        <v>0.74772305451355991</v>
      </c>
      <c r="F76" s="145">
        <f t="shared" si="1"/>
        <v>6.8915289013493294E-2</v>
      </c>
      <c r="G76" s="145">
        <f t="shared" si="2"/>
        <v>0.19178811681141489</v>
      </c>
      <c r="H76" s="145">
        <f t="shared" si="3"/>
        <v>0.11785558592353014</v>
      </c>
      <c r="I76" s="145">
        <f t="shared" si="4"/>
        <v>3.551225726286223E-2</v>
      </c>
      <c r="J76" s="145">
        <f t="shared" si="5"/>
        <v>5.823864007163013E-3</v>
      </c>
      <c r="K76" s="145">
        <f t="shared" si="6"/>
        <v>3.2596409617859499E-2</v>
      </c>
      <c r="L76" s="145">
        <f t="shared" si="7"/>
        <v>1.527100154276272E-2</v>
      </c>
      <c r="M76" s="143">
        <v>784314</v>
      </c>
      <c r="N76" s="143">
        <v>94996</v>
      </c>
      <c r="O76" s="143">
        <v>879310</v>
      </c>
      <c r="R76" s="143">
        <v>114393</v>
      </c>
      <c r="S76" s="143">
        <v>44247</v>
      </c>
    </row>
    <row r="77" spans="1:19">
      <c r="A77" s="143">
        <v>1986</v>
      </c>
      <c r="B77" s="143">
        <v>766223</v>
      </c>
      <c r="C77" s="143">
        <v>154224</v>
      </c>
      <c r="D77" s="143">
        <v>920447</v>
      </c>
      <c r="E77" s="145">
        <f t="shared" si="0"/>
        <v>0.74942281816129241</v>
      </c>
      <c r="F77" s="145">
        <f t="shared" si="1"/>
        <v>7.041031135844264E-2</v>
      </c>
      <c r="G77" s="145">
        <f t="shared" si="2"/>
        <v>0.19772311716040891</v>
      </c>
      <c r="H77" s="145">
        <f t="shared" si="3"/>
        <v>0.11902540122131547</v>
      </c>
      <c r="I77" s="145">
        <f t="shared" si="4"/>
        <v>4.5476316946894052E-2</v>
      </c>
      <c r="J77" s="145">
        <f t="shared" si="5"/>
        <v>9.4946249329503282E-3</v>
      </c>
      <c r="K77" s="145">
        <f t="shared" si="6"/>
        <v>2.372677405924907E-2</v>
      </c>
      <c r="L77" s="145">
        <f t="shared" si="7"/>
        <v>1.6966340086371722E-2</v>
      </c>
      <c r="M77" s="143">
        <v>792675</v>
      </c>
      <c r="N77" s="143">
        <v>127772</v>
      </c>
      <c r="O77" s="143">
        <v>920447</v>
      </c>
      <c r="R77" s="143">
        <v>115150</v>
      </c>
      <c r="S77" s="143">
        <v>49350</v>
      </c>
    </row>
    <row r="78" spans="1:19">
      <c r="A78" s="143">
        <v>1987</v>
      </c>
      <c r="B78" s="143">
        <v>799382</v>
      </c>
      <c r="C78" s="143">
        <v>177290</v>
      </c>
      <c r="D78" s="143">
        <v>976672</v>
      </c>
      <c r="E78" s="145">
        <f t="shared" si="0"/>
        <v>0.76063133770837976</v>
      </c>
      <c r="F78" s="145">
        <f t="shared" si="1"/>
        <v>7.4244854149830744E-2</v>
      </c>
      <c r="G78" s="145">
        <f t="shared" si="2"/>
        <v>0.2013930761513269</v>
      </c>
      <c r="H78" s="145">
        <f t="shared" si="3"/>
        <v>0.1163698957444626</v>
      </c>
      <c r="I78" s="145">
        <f t="shared" si="4"/>
        <v>3.0407239592585272E-2</v>
      </c>
      <c r="J78" s="145">
        <f t="shared" si="5"/>
        <v>1.5097913137899027E-2</v>
      </c>
      <c r="K78" s="145">
        <f t="shared" si="6"/>
        <v>3.9518027676380005E-2</v>
      </c>
      <c r="L78" s="145">
        <f t="shared" si="7"/>
        <v>1.8139012387069012E-2</v>
      </c>
      <c r="M78" s="143">
        <v>842875</v>
      </c>
      <c r="N78" s="143">
        <v>133797</v>
      </c>
      <c r="O78" s="143">
        <v>976672</v>
      </c>
      <c r="R78" s="143">
        <v>127986</v>
      </c>
      <c r="S78" s="143">
        <v>47504</v>
      </c>
    </row>
    <row r="79" spans="1:19">
      <c r="A79" s="143">
        <v>1988</v>
      </c>
      <c r="B79" s="143">
        <v>850207</v>
      </c>
      <c r="C79" s="143">
        <v>198370</v>
      </c>
      <c r="D79" s="143">
        <v>1048577</v>
      </c>
      <c r="E79" s="145">
        <f t="shared" si="0"/>
        <v>0.72910832303192041</v>
      </c>
      <c r="F79" s="145">
        <f t="shared" si="1"/>
        <v>7.2111850408194705E-2</v>
      </c>
      <c r="G79" s="145">
        <f t="shared" si="2"/>
        <v>0.19636512049418553</v>
      </c>
      <c r="H79" s="145">
        <f t="shared" si="3"/>
        <v>0.1123067676459968</v>
      </c>
      <c r="I79" s="145">
        <f t="shared" si="4"/>
        <v>2.2521574157822744E-2</v>
      </c>
      <c r="J79" s="145">
        <f t="shared" si="5"/>
        <v>9.3341974366242565E-3</v>
      </c>
      <c r="K79" s="145">
        <f t="shared" si="6"/>
        <v>5.2202581253741734E-2</v>
      </c>
      <c r="L79" s="145">
        <f t="shared" si="7"/>
        <v>1.8155578582627525E-2</v>
      </c>
      <c r="M79" s="143">
        <v>863590</v>
      </c>
      <c r="N79" s="143">
        <v>184987</v>
      </c>
      <c r="O79" s="143">
        <v>1048577</v>
      </c>
      <c r="R79" s="143">
        <v>133143</v>
      </c>
      <c r="S79" s="143">
        <v>49244</v>
      </c>
    </row>
    <row r="80" spans="1:19">
      <c r="A80" s="143">
        <v>1989</v>
      </c>
      <c r="B80" s="143">
        <v>899500</v>
      </c>
      <c r="C80" s="143">
        <v>170262</v>
      </c>
      <c r="D80" s="143">
        <v>1069762</v>
      </c>
      <c r="E80" s="145">
        <f t="shared" si="0"/>
        <v>0.67215786548082268</v>
      </c>
      <c r="F80" s="145">
        <f t="shared" si="1"/>
        <v>7.186103390772651E-2</v>
      </c>
      <c r="G80" s="145">
        <f t="shared" si="2"/>
        <v>0.20541523068371317</v>
      </c>
      <c r="H80" s="145">
        <f t="shared" si="3"/>
        <v>0.10329738743746526</v>
      </c>
      <c r="I80" s="145">
        <f t="shared" si="4"/>
        <v>2.4012229016120067E-2</v>
      </c>
      <c r="J80" s="145">
        <f t="shared" si="5"/>
        <v>1.8894941634241245E-2</v>
      </c>
      <c r="K80" s="145">
        <f t="shared" si="6"/>
        <v>5.9210672595886603E-2</v>
      </c>
      <c r="L80" s="145">
        <f t="shared" si="7"/>
        <v>1.7760978321289606E-2</v>
      </c>
      <c r="M80" s="143">
        <v>869992</v>
      </c>
      <c r="N80" s="143">
        <v>199770</v>
      </c>
      <c r="O80" s="143">
        <v>1069762</v>
      </c>
      <c r="R80" s="143">
        <v>159198</v>
      </c>
      <c r="S80" s="143">
        <v>41549</v>
      </c>
    </row>
    <row r="81" spans="1:19">
      <c r="A81" s="143">
        <v>1990</v>
      </c>
      <c r="B81" s="143">
        <v>927317</v>
      </c>
      <c r="C81" s="143">
        <v>283873</v>
      </c>
      <c r="D81" s="143">
        <v>1211190</v>
      </c>
      <c r="E81" s="145">
        <f t="shared" si="0"/>
        <v>0.74012338822646406</v>
      </c>
      <c r="F81" s="145">
        <f t="shared" si="1"/>
        <v>7.1935487001748052E-2</v>
      </c>
      <c r="G81" s="145">
        <f t="shared" si="2"/>
        <v>0.21941903362064968</v>
      </c>
      <c r="H81" s="145">
        <f t="shared" si="3"/>
        <v>9.8653427037356162E-2</v>
      </c>
      <c r="I81" s="145">
        <f t="shared" si="4"/>
        <v>2.0369517651461149E-2</v>
      </c>
      <c r="J81" s="145">
        <f t="shared" si="5"/>
        <v>6.5390799478495493E-2</v>
      </c>
      <c r="K81" s="145">
        <f t="shared" si="6"/>
        <v>3.5005289453336884E-2</v>
      </c>
      <c r="L81" s="145">
        <f t="shared" si="7"/>
        <v>1.6934877717112919E-2</v>
      </c>
      <c r="M81" s="143">
        <v>972211</v>
      </c>
      <c r="N81" s="143">
        <v>238979</v>
      </c>
      <c r="O81" s="143">
        <v>1211190</v>
      </c>
      <c r="R81" s="143">
        <v>184789</v>
      </c>
      <c r="S81" s="143">
        <v>34386</v>
      </c>
    </row>
    <row r="82" spans="1:19">
      <c r="A82" s="143">
        <v>1991</v>
      </c>
      <c r="B82" s="143">
        <v>950208</v>
      </c>
      <c r="C82" s="143">
        <v>325054</v>
      </c>
      <c r="D82" s="143">
        <v>1275262</v>
      </c>
      <c r="E82" s="145">
        <f t="shared" si="0"/>
        <v>0.73726278877887785</v>
      </c>
      <c r="F82" s="145">
        <f t="shared" si="1"/>
        <v>8.4241555533104334E-2</v>
      </c>
      <c r="G82" s="145">
        <f t="shared" si="2"/>
        <v>0.22663879908399004</v>
      </c>
      <c r="H82" s="145">
        <f t="shared" si="3"/>
        <v>0.10511382770930154</v>
      </c>
      <c r="I82" s="145">
        <f t="shared" si="4"/>
        <v>2.8388521250084193E-2</v>
      </c>
      <c r="J82" s="145">
        <f t="shared" si="5"/>
        <v>5.1263512830874922E-2</v>
      </c>
      <c r="K82" s="145">
        <f t="shared" si="6"/>
        <v>4.1872937293729373E-2</v>
      </c>
      <c r="L82" s="145">
        <f t="shared" si="7"/>
        <v>2.3864248669764936E-2</v>
      </c>
      <c r="M82" s="143">
        <v>1018630</v>
      </c>
      <c r="N82" s="143">
        <v>256632</v>
      </c>
      <c r="O82" s="143">
        <v>1275262</v>
      </c>
      <c r="R82" s="143">
        <v>198162</v>
      </c>
      <c r="S82" s="143">
        <v>39868</v>
      </c>
    </row>
    <row r="83" spans="1:19">
      <c r="A83" s="143">
        <v>1992</v>
      </c>
      <c r="B83" s="143">
        <v>967312</v>
      </c>
      <c r="C83" s="143">
        <v>338286</v>
      </c>
      <c r="D83" s="143">
        <v>1305598</v>
      </c>
      <c r="E83" s="145">
        <f t="shared" si="0"/>
        <v>0.77607741866119717</v>
      </c>
      <c r="F83" s="145">
        <f t="shared" si="1"/>
        <v>8.9203896984633713E-2</v>
      </c>
      <c r="G83" s="145">
        <f t="shared" si="2"/>
        <v>0.20839191491473277</v>
      </c>
      <c r="H83" s="145">
        <f t="shared" si="3"/>
        <v>0.14056581537290966</v>
      </c>
      <c r="I83" s="145">
        <f t="shared" si="4"/>
        <v>1.6533445258613558E-2</v>
      </c>
      <c r="J83" s="145">
        <f t="shared" si="5"/>
        <v>2.5418892766759845E-2</v>
      </c>
      <c r="K83" s="145">
        <f t="shared" si="6"/>
        <v>2.5873761516449708E-2</v>
      </c>
      <c r="L83" s="145">
        <f t="shared" si="7"/>
        <v>2.1608333195494319E-2</v>
      </c>
      <c r="M83" s="143">
        <v>1059479</v>
      </c>
      <c r="N83" s="143">
        <v>246119</v>
      </c>
      <c r="O83" s="143">
        <v>1305598</v>
      </c>
      <c r="R83" s="143">
        <v>176130</v>
      </c>
      <c r="S83" s="143">
        <v>46352</v>
      </c>
    </row>
    <row r="84" spans="1:19">
      <c r="A84" s="143">
        <v>1993</v>
      </c>
      <c r="B84" s="143">
        <v>1007377</v>
      </c>
      <c r="C84" s="143">
        <v>445332</v>
      </c>
      <c r="D84" s="143">
        <v>1452709</v>
      </c>
      <c r="E84" s="145">
        <f t="shared" si="0"/>
        <v>0.78493751594487471</v>
      </c>
      <c r="F84" s="145">
        <f t="shared" si="1"/>
        <v>9.0181729382346434E-2</v>
      </c>
      <c r="G84" s="145">
        <f t="shared" si="2"/>
        <v>0.20495901732916277</v>
      </c>
      <c r="H84" s="145">
        <f t="shared" si="3"/>
        <v>0.1366400066707896</v>
      </c>
      <c r="I84" s="145">
        <f t="shared" si="4"/>
        <v>1.8865826795727916E-2</v>
      </c>
      <c r="J84" s="145">
        <f t="shared" si="5"/>
        <v>2.2115851364484199E-2</v>
      </c>
      <c r="K84" s="145">
        <f t="shared" si="6"/>
        <v>2.7337332498161067E-2</v>
      </c>
      <c r="L84" s="145">
        <f t="shared" si="7"/>
        <v>2.0931587677701594E-2</v>
      </c>
      <c r="M84" s="143">
        <v>1109132</v>
      </c>
      <c r="N84" s="143">
        <v>343577</v>
      </c>
      <c r="O84" s="143">
        <v>1452709</v>
      </c>
      <c r="R84" s="143">
        <v>167237</v>
      </c>
      <c r="S84" s="143">
        <v>60320</v>
      </c>
    </row>
    <row r="85" spans="1:19">
      <c r="A85" s="143">
        <v>1994</v>
      </c>
      <c r="B85" s="143">
        <v>1038547</v>
      </c>
      <c r="C85" s="143">
        <v>564237</v>
      </c>
      <c r="D85" s="143">
        <v>1602784</v>
      </c>
      <c r="E85" s="145">
        <f t="shared" si="0"/>
        <v>0.8713298483361851</v>
      </c>
      <c r="F85" s="145">
        <f t="shared" si="1"/>
        <v>9.0878891374198759E-2</v>
      </c>
      <c r="G85" s="145">
        <f t="shared" si="2"/>
        <v>0.20797903224408718</v>
      </c>
      <c r="H85" s="145">
        <f t="shared" si="3"/>
        <v>0.13568668534019163</v>
      </c>
      <c r="I85" s="145">
        <f t="shared" si="4"/>
        <v>2.0982199168646194E-2</v>
      </c>
      <c r="J85" s="145">
        <f t="shared" si="5"/>
        <v>2.4596864658027032E-2</v>
      </c>
      <c r="K85" s="145">
        <f t="shared" si="6"/>
        <v>2.6713283077222313E-2</v>
      </c>
      <c r="L85" s="145">
        <f t="shared" si="7"/>
        <v>2.0897465401180686E-2</v>
      </c>
      <c r="M85" s="143">
        <v>1236998</v>
      </c>
      <c r="N85" s="143">
        <v>365786</v>
      </c>
      <c r="O85" s="143">
        <v>1602784</v>
      </c>
      <c r="R85" s="143">
        <v>171251</v>
      </c>
      <c r="S85" s="143">
        <v>66448</v>
      </c>
    </row>
    <row r="86" spans="1:19">
      <c r="A86" s="143">
        <v>1995</v>
      </c>
      <c r="B86" s="143">
        <v>1087409</v>
      </c>
      <c r="C86" s="143">
        <v>628635</v>
      </c>
      <c r="D86" s="143">
        <v>1716044</v>
      </c>
      <c r="E86" s="145">
        <f t="shared" si="0"/>
        <v>0.85362085471060112</v>
      </c>
      <c r="F86" s="145">
        <f t="shared" si="1"/>
        <v>9.7269748549073998E-2</v>
      </c>
      <c r="G86" s="145">
        <f t="shared" si="2"/>
        <v>0.21399215934390831</v>
      </c>
      <c r="H86" s="145">
        <f t="shared" si="3"/>
        <v>0.13477173722122954</v>
      </c>
      <c r="I86" s="145">
        <f t="shared" si="4"/>
        <v>2.2845130029271413E-2</v>
      </c>
      <c r="J86" s="145">
        <f t="shared" si="5"/>
        <v>2.6780171950020644E-2</v>
      </c>
      <c r="K86" s="145">
        <f t="shared" si="6"/>
        <v>2.9595120143386711E-2</v>
      </c>
      <c r="L86" s="145">
        <f t="shared" si="7"/>
        <v>2.0131339725898902E-2</v>
      </c>
      <c r="M86" s="143">
        <v>1288595</v>
      </c>
      <c r="N86" s="143">
        <v>427449</v>
      </c>
      <c r="O86" s="143">
        <v>1716044</v>
      </c>
      <c r="R86" s="143">
        <v>204212</v>
      </c>
      <c r="S86" s="143">
        <v>50376</v>
      </c>
    </row>
    <row r="87" spans="1:19">
      <c r="A87" s="143" t="s">
        <v>311</v>
      </c>
      <c r="B87" s="143">
        <v>1101158</v>
      </c>
      <c r="C87" s="143">
        <v>590288</v>
      </c>
      <c r="D87" s="143">
        <v>1691446</v>
      </c>
      <c r="E87" s="145">
        <f t="shared" si="0"/>
        <v>0.8562994592964861</v>
      </c>
      <c r="F87" s="145">
        <f t="shared" si="1"/>
        <v>0.10566058640086164</v>
      </c>
      <c r="G87" s="145">
        <f t="shared" si="2"/>
        <v>0.21110866923729382</v>
      </c>
      <c r="H87" s="145">
        <f t="shared" si="3"/>
        <v>0.13714834746693935</v>
      </c>
      <c r="I87" s="145">
        <f t="shared" si="4"/>
        <v>2.2649792309550491E-2</v>
      </c>
      <c r="J87" s="145">
        <f t="shared" si="5"/>
        <v>1.9834574148305691E-2</v>
      </c>
      <c r="K87" s="145">
        <f t="shared" si="6"/>
        <v>3.1475955312498298E-2</v>
      </c>
      <c r="L87" s="145">
        <f t="shared" si="7"/>
        <v>1.9840022957650038E-2</v>
      </c>
      <c r="M87" s="143">
        <v>1313581</v>
      </c>
      <c r="N87" s="143">
        <v>377865</v>
      </c>
      <c r="O87" s="143">
        <v>1691446</v>
      </c>
      <c r="R87" s="143">
        <v>206595</v>
      </c>
      <c r="S87" s="143">
        <v>47716</v>
      </c>
    </row>
    <row r="88" spans="1:19">
      <c r="A88" s="143" t="s">
        <v>312</v>
      </c>
      <c r="B88" s="143">
        <v>1129682</v>
      </c>
      <c r="C88" s="143">
        <v>566677</v>
      </c>
      <c r="D88" s="143">
        <v>1696359</v>
      </c>
      <c r="E88" s="145">
        <f t="shared" si="0"/>
        <v>0.8613007908420246</v>
      </c>
      <c r="F88" s="145">
        <f t="shared" si="1"/>
        <v>0.10505257231681128</v>
      </c>
      <c r="G88" s="145">
        <f t="shared" si="2"/>
        <v>0.20252956141639861</v>
      </c>
      <c r="H88" s="145">
        <f t="shared" si="3"/>
        <v>0.13502206815723364</v>
      </c>
      <c r="I88" s="145">
        <f t="shared" si="4"/>
        <v>2.6559686708294901E-2</v>
      </c>
      <c r="J88" s="145">
        <f t="shared" si="5"/>
        <v>1.5911557411731798E-2</v>
      </c>
      <c r="K88" s="145">
        <f t="shared" si="6"/>
        <v>2.503624913913827E-2</v>
      </c>
      <c r="L88" s="145">
        <f t="shared" si="7"/>
        <v>1.7989133225102285E-2</v>
      </c>
      <c r="M88" s="143">
        <v>1340788</v>
      </c>
      <c r="N88" s="143">
        <v>355571</v>
      </c>
      <c r="O88" s="143">
        <v>1696359</v>
      </c>
      <c r="R88" s="143">
        <v>197832</v>
      </c>
      <c r="S88" s="143">
        <v>51284</v>
      </c>
    </row>
    <row r="89" spans="1:19">
      <c r="A89" s="143" t="s">
        <v>313</v>
      </c>
      <c r="B89" s="143">
        <v>1124939</v>
      </c>
      <c r="C89" s="143">
        <v>527010</v>
      </c>
      <c r="D89" s="143">
        <v>1651949</v>
      </c>
      <c r="E89" s="145">
        <f t="shared" si="0"/>
        <v>0.8577736215030326</v>
      </c>
      <c r="F89" s="145">
        <f t="shared" si="1"/>
        <v>0.10625287237796893</v>
      </c>
      <c r="G89" s="145">
        <f t="shared" si="2"/>
        <v>0.1932273661060733</v>
      </c>
      <c r="H89" s="145">
        <f t="shared" si="3"/>
        <v>0.13694787006228781</v>
      </c>
      <c r="I89" s="145">
        <f t="shared" si="4"/>
        <v>1.9203707934385774E-2</v>
      </c>
      <c r="J89" s="145">
        <f t="shared" si="5"/>
        <v>1.470035264134322E-2</v>
      </c>
      <c r="K89" s="145">
        <f t="shared" si="6"/>
        <v>2.2375435468056488E-2</v>
      </c>
      <c r="L89" s="145">
        <f t="shared" si="7"/>
        <v>1.7902304036041067E-2</v>
      </c>
      <c r="M89" s="143">
        <v>1321979</v>
      </c>
      <c r="N89" s="143">
        <v>329970</v>
      </c>
      <c r="O89" s="143">
        <v>1651949</v>
      </c>
      <c r="R89" s="143">
        <v>181096</v>
      </c>
      <c r="S89" s="143">
        <v>56412</v>
      </c>
    </row>
    <row r="90" spans="1:19">
      <c r="A90" s="143" t="s">
        <v>314</v>
      </c>
      <c r="B90" s="143">
        <v>1130390.3999999999</v>
      </c>
      <c r="C90" s="143">
        <v>384190</v>
      </c>
      <c r="D90" s="143">
        <v>1514580.4</v>
      </c>
      <c r="E90" s="145">
        <f t="shared" si="0"/>
        <v>0.81505681576913613</v>
      </c>
      <c r="F90" s="145">
        <f t="shared" si="1"/>
        <v>0.10969484524992429</v>
      </c>
      <c r="G90" s="145">
        <f t="shared" si="2"/>
        <v>0.18403553321047314</v>
      </c>
      <c r="H90" s="145">
        <f t="shared" si="3"/>
        <v>0.13969377305398206</v>
      </c>
      <c r="I90" s="145">
        <f t="shared" si="4"/>
        <v>1.3454201309565263E-2</v>
      </c>
      <c r="J90" s="145">
        <f t="shared" si="5"/>
        <v>1.3474105937205412E-2</v>
      </c>
      <c r="K90" s="145">
        <f t="shared" si="6"/>
        <v>1.7413452909720396E-2</v>
      </c>
      <c r="L90" s="145">
        <f t="shared" si="7"/>
        <v>1.7993783386695428E-2</v>
      </c>
      <c r="M90" s="143">
        <v>1273702.3999999999</v>
      </c>
      <c r="N90" s="143">
        <v>240878</v>
      </c>
      <c r="O90" s="143">
        <v>1514580.4</v>
      </c>
      <c r="R90" s="143">
        <v>169534.5</v>
      </c>
      <c r="S90" s="143">
        <v>58837.5</v>
      </c>
    </row>
    <row r="91" spans="1:19">
      <c r="A91" s="143" t="s">
        <v>315</v>
      </c>
      <c r="B91" s="143">
        <v>1126416</v>
      </c>
      <c r="C91" s="143">
        <v>358449</v>
      </c>
      <c r="D91" s="143">
        <v>1484865</v>
      </c>
      <c r="E91" s="145">
        <f t="shared" si="0"/>
        <v>0.80969375435008029</v>
      </c>
      <c r="F91" s="145">
        <f t="shared" si="1"/>
        <v>0.12558149031973978</v>
      </c>
      <c r="G91" s="145">
        <f t="shared" si="2"/>
        <v>0.18315435860286075</v>
      </c>
      <c r="H91" s="145">
        <f t="shared" si="3"/>
        <v>0.14299068905271231</v>
      </c>
      <c r="I91" s="145">
        <f t="shared" si="4"/>
        <v>1.0342537748043352E-2</v>
      </c>
      <c r="J91" s="145">
        <f t="shared" si="5"/>
        <v>1.2223725515262567E-2</v>
      </c>
      <c r="K91" s="145">
        <f t="shared" si="6"/>
        <v>1.7597406286842518E-2</v>
      </c>
      <c r="L91" s="145">
        <f t="shared" si="7"/>
        <v>1.8237489524296529E-2</v>
      </c>
      <c r="M91" s="143">
        <v>1280360</v>
      </c>
      <c r="N91" s="143">
        <v>204505</v>
      </c>
      <c r="O91" s="143">
        <v>1484865</v>
      </c>
      <c r="R91" s="143">
        <v>162659</v>
      </c>
      <c r="S91" s="143">
        <v>64192</v>
      </c>
    </row>
    <row r="92" spans="1:19">
      <c r="A92" s="143" t="s">
        <v>316</v>
      </c>
      <c r="B92" s="143">
        <v>1157007</v>
      </c>
      <c r="C92" s="143">
        <v>352714</v>
      </c>
      <c r="D92" s="143">
        <v>1509721</v>
      </c>
      <c r="E92" s="145">
        <f t="shared" si="0"/>
        <v>0.85992478870050049</v>
      </c>
      <c r="F92" s="145">
        <f t="shared" si="1"/>
        <v>0.10703046740425944</v>
      </c>
      <c r="G92" s="145">
        <f t="shared" si="2"/>
        <v>0.14382540468640206</v>
      </c>
      <c r="H92" s="145">
        <f t="shared" si="3"/>
        <v>0.10760954773825915</v>
      </c>
      <c r="I92" s="145">
        <f t="shared" si="4"/>
        <v>1.0572969740027503E-2</v>
      </c>
      <c r="J92" s="145">
        <f t="shared" si="5"/>
        <v>9.7103993320697274E-3</v>
      </c>
      <c r="K92" s="145">
        <f t="shared" si="6"/>
        <v>1.5932487876045693E-2</v>
      </c>
      <c r="L92" s="145">
        <f t="shared" si="7"/>
        <v>1.8023227171486429E-2</v>
      </c>
      <c r="M92" s="143">
        <v>1306034</v>
      </c>
      <c r="N92" s="143">
        <v>203687</v>
      </c>
      <c r="O92" s="143">
        <v>1509721</v>
      </c>
      <c r="R92" s="143">
        <v>146627</v>
      </c>
      <c r="S92" s="143">
        <v>40633</v>
      </c>
    </row>
    <row r="93" spans="1:19">
      <c r="A93" s="143" t="s">
        <v>317</v>
      </c>
      <c r="B93" s="143">
        <v>1130190</v>
      </c>
      <c r="C93" s="143">
        <v>330493</v>
      </c>
      <c r="D93" s="143">
        <v>1460683</v>
      </c>
      <c r="E93" s="145">
        <f t="shared" si="0"/>
        <v>0.84004547907873894</v>
      </c>
      <c r="F93" s="145">
        <f t="shared" si="1"/>
        <v>9.8950618922482067E-2</v>
      </c>
      <c r="G93" s="145">
        <f t="shared" si="2"/>
        <v>0.12905352197418132</v>
      </c>
      <c r="H93" s="145">
        <f t="shared" si="3"/>
        <v>9.914704607189942E-2</v>
      </c>
      <c r="I93" s="145">
        <f t="shared" si="4"/>
        <v>7.1872870933205922E-3</v>
      </c>
      <c r="J93" s="145">
        <f t="shared" si="5"/>
        <v>8.400357462019661E-3</v>
      </c>
      <c r="K93" s="145">
        <f t="shared" si="6"/>
        <v>1.4319716153921021E-2</v>
      </c>
      <c r="L93" s="145">
        <f t="shared" si="7"/>
        <v>1.8377440961254304E-2</v>
      </c>
      <c r="M93" s="143">
        <v>1227869</v>
      </c>
      <c r="N93" s="143">
        <v>232814</v>
      </c>
      <c r="O93" s="143">
        <v>1460683</v>
      </c>
      <c r="R93" s="143">
        <v>124531</v>
      </c>
      <c r="S93" s="143">
        <v>42094</v>
      </c>
    </row>
    <row r="94" spans="1:19">
      <c r="A94" s="143" t="s">
        <v>318</v>
      </c>
      <c r="B94" s="143">
        <v>1159016</v>
      </c>
      <c r="C94" s="143">
        <v>381389</v>
      </c>
      <c r="D94" s="143">
        <v>1540405</v>
      </c>
      <c r="E94" s="145">
        <f t="shared" si="0"/>
        <v>0.85835570863560129</v>
      </c>
      <c r="F94" s="145">
        <f t="shared" si="1"/>
        <v>8.9542335912532703E-2</v>
      </c>
      <c r="G94" s="145">
        <f t="shared" si="2"/>
        <v>0.13585662320451142</v>
      </c>
      <c r="H94" s="145">
        <f t="shared" si="3"/>
        <v>0.10219185930133838</v>
      </c>
      <c r="I94" s="145">
        <f t="shared" si="4"/>
        <v>8.0387156001297654E-3</v>
      </c>
      <c r="J94" s="145">
        <f t="shared" si="5"/>
        <v>7.4873858514463995E-3</v>
      </c>
      <c r="K94" s="145">
        <f t="shared" si="6"/>
        <v>1.8138662451596871E-2</v>
      </c>
      <c r="L94" s="145">
        <f t="shared" si="7"/>
        <v>1.7920373834356039E-2</v>
      </c>
      <c r="M94" s="143">
        <v>1276859</v>
      </c>
      <c r="N94" s="143">
        <v>263546</v>
      </c>
      <c r="O94" s="143">
        <v>1540405</v>
      </c>
      <c r="R94" s="143">
        <v>138662</v>
      </c>
      <c r="S94" s="143">
        <v>39568</v>
      </c>
    </row>
  </sheetData>
  <mergeCells count="6">
    <mergeCell ref="B3:D3"/>
    <mergeCell ref="E3:O3"/>
    <mergeCell ref="R3:S3"/>
    <mergeCell ref="B51:D51"/>
    <mergeCell ref="E51:O51"/>
    <mergeCell ref="R51:S51"/>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86"/>
  <sheetViews>
    <sheetView workbookViewId="0">
      <selection activeCell="H7" sqref="H7"/>
    </sheetView>
  </sheetViews>
  <sheetFormatPr defaultColWidth="8.6640625" defaultRowHeight="14.4"/>
  <cols>
    <col min="1" max="1" width="6.109375" style="320" bestFit="1" customWidth="1"/>
    <col min="2" max="11" width="8.6640625" style="43"/>
    <col min="12" max="12" width="30" style="43" bestFit="1" customWidth="1"/>
    <col min="13" max="13" width="8.6640625" style="43"/>
    <col min="14" max="14" width="9.6640625" style="43" bestFit="1" customWidth="1"/>
    <col min="15" max="16" width="12.6640625" style="43" bestFit="1" customWidth="1"/>
    <col min="17" max="16384" width="8.6640625" style="43"/>
  </cols>
  <sheetData>
    <row r="1" spans="1:20" ht="15" thickBot="1"/>
    <row r="2" spans="1:20">
      <c r="A2" s="470" t="s">
        <v>7</v>
      </c>
      <c r="B2" s="294" t="s">
        <v>466</v>
      </c>
      <c r="C2" s="294" t="s">
        <v>466</v>
      </c>
      <c r="E2" s="294" t="s">
        <v>466</v>
      </c>
    </row>
    <row r="3" spans="1:20" ht="60">
      <c r="A3" s="470"/>
      <c r="B3" s="296" t="s">
        <v>474</v>
      </c>
      <c r="C3" s="296" t="s">
        <v>477</v>
      </c>
      <c r="E3" s="296" t="s">
        <v>476</v>
      </c>
      <c r="H3" s="296" t="s">
        <v>478</v>
      </c>
    </row>
    <row r="4" spans="1:20">
      <c r="A4" s="321">
        <v>1960</v>
      </c>
      <c r="L4" s="322"/>
      <c r="M4" s="322"/>
      <c r="N4" s="322"/>
      <c r="O4" s="322"/>
      <c r="P4" s="322"/>
      <c r="Q4" s="322"/>
      <c r="R4" s="322"/>
      <c r="S4" s="322"/>
      <c r="T4" s="322"/>
    </row>
    <row r="5" spans="1:20">
      <c r="A5" s="321">
        <v>1961</v>
      </c>
      <c r="L5" s="322"/>
      <c r="M5" s="322"/>
      <c r="N5" s="322"/>
      <c r="O5" s="322"/>
      <c r="P5" s="322"/>
      <c r="Q5" s="322"/>
      <c r="R5" s="322"/>
      <c r="S5" s="322"/>
      <c r="T5" s="322"/>
    </row>
    <row r="6" spans="1:20">
      <c r="A6" s="321">
        <v>1962</v>
      </c>
      <c r="B6" s="306" t="e">
        <f>Debt!#REF!</f>
        <v>#REF!</v>
      </c>
      <c r="C6" s="306" t="e">
        <f t="shared" ref="C6:C37" si="0">E6-B6</f>
        <v>#REF!</v>
      </c>
      <c r="D6" s="306"/>
      <c r="E6" s="306" t="e">
        <f>Deficit!#REF!</f>
        <v>#REF!</v>
      </c>
      <c r="F6" s="306"/>
      <c r="G6" s="306"/>
      <c r="H6" s="306"/>
      <c r="L6" s="322"/>
      <c r="M6" s="322"/>
      <c r="N6" s="322"/>
      <c r="O6" s="322"/>
      <c r="P6" s="322"/>
      <c r="Q6" s="322"/>
      <c r="R6" s="322"/>
      <c r="S6" s="322"/>
      <c r="T6" s="322"/>
    </row>
    <row r="7" spans="1:20">
      <c r="A7" s="321">
        <v>1963</v>
      </c>
      <c r="B7" s="306" t="e">
        <f>Debt!#REF!</f>
        <v>#REF!</v>
      </c>
      <c r="C7" s="306" t="e">
        <f t="shared" si="0"/>
        <v>#REF!</v>
      </c>
      <c r="D7" s="306"/>
      <c r="E7" s="306" t="e">
        <f>Deficit!#REF!</f>
        <v>#REF!</v>
      </c>
      <c r="F7" s="306"/>
      <c r="G7" s="306"/>
      <c r="H7" s="306" t="e">
        <f>Debt!#REF!-Debt!#REF!</f>
        <v>#REF!</v>
      </c>
      <c r="L7" s="323"/>
      <c r="M7" s="324" t="s">
        <v>465</v>
      </c>
      <c r="N7" s="324" t="s">
        <v>479</v>
      </c>
      <c r="O7" s="324" t="s">
        <v>480</v>
      </c>
      <c r="P7" s="324" t="s">
        <v>464</v>
      </c>
      <c r="Q7" s="322"/>
      <c r="S7" s="322"/>
      <c r="T7" s="322"/>
    </row>
    <row r="8" spans="1:20">
      <c r="A8" s="321">
        <v>1964</v>
      </c>
      <c r="B8" s="306" t="e">
        <f>Debt!#REF!</f>
        <v>#REF!</v>
      </c>
      <c r="C8" s="306" t="e">
        <f t="shared" si="0"/>
        <v>#REF!</v>
      </c>
      <c r="D8" s="306"/>
      <c r="E8" s="306" t="e">
        <f>Deficit!#REF!</f>
        <v>#REF!</v>
      </c>
      <c r="F8" s="306"/>
      <c r="G8" s="306"/>
      <c r="H8" s="306" t="e">
        <f>Debt!#REF!-Debt!#REF!</f>
        <v>#REF!</v>
      </c>
      <c r="L8" s="325" t="s">
        <v>481</v>
      </c>
      <c r="M8" s="326" t="e">
        <f>AVERAGE(B6:B24)</f>
        <v>#REF!</v>
      </c>
      <c r="N8" s="326" t="e">
        <f>AVERAGE(B25:B32)</f>
        <v>#REF!</v>
      </c>
      <c r="O8" s="326" t="e">
        <f>AVERAGE(B33:B47)</f>
        <v>#REF!</v>
      </c>
      <c r="P8" s="326" t="e">
        <f>AVERAGE(B48:B57)</f>
        <v>#REF!</v>
      </c>
      <c r="Q8" s="322"/>
      <c r="S8" s="322"/>
      <c r="T8" s="322"/>
    </row>
    <row r="9" spans="1:20">
      <c r="A9" s="321">
        <v>1965</v>
      </c>
      <c r="B9" s="306" t="e">
        <f>Debt!#REF!</f>
        <v>#REF!</v>
      </c>
      <c r="C9" s="306" t="e">
        <f t="shared" si="0"/>
        <v>#REF!</v>
      </c>
      <c r="D9" s="306"/>
      <c r="E9" s="306" t="e">
        <f>Deficit!#REF!</f>
        <v>#REF!</v>
      </c>
      <c r="F9" s="306"/>
      <c r="G9" s="306"/>
      <c r="H9" s="306" t="e">
        <f>Debt!#REF!-Debt!#REF!</f>
        <v>#REF!</v>
      </c>
      <c r="L9" s="325" t="s">
        <v>482</v>
      </c>
      <c r="M9" s="326" t="e">
        <f>AVERAGE(C6:C24)</f>
        <v>#REF!</v>
      </c>
      <c r="N9" s="326" t="e">
        <f>AVERAGE(C25:C32)</f>
        <v>#REF!</v>
      </c>
      <c r="O9" s="326" t="e">
        <f>AVERAGE(C33:C47)</f>
        <v>#REF!</v>
      </c>
      <c r="P9" s="326" t="e">
        <f>AVERAGE(C48:C57)</f>
        <v>#REF!</v>
      </c>
      <c r="Q9" s="322"/>
      <c r="S9" s="322"/>
      <c r="T9" s="322"/>
    </row>
    <row r="10" spans="1:20">
      <c r="A10" s="321">
        <v>1966</v>
      </c>
      <c r="B10" s="306" t="e">
        <f>Debt!#REF!</f>
        <v>#REF!</v>
      </c>
      <c r="C10" s="306" t="e">
        <f t="shared" si="0"/>
        <v>#REF!</v>
      </c>
      <c r="D10" s="306"/>
      <c r="E10" s="306" t="e">
        <f>Deficit!#REF!</f>
        <v>#REF!</v>
      </c>
      <c r="F10" s="306"/>
      <c r="G10" s="306"/>
      <c r="H10" s="306" t="e">
        <f>Debt!#REF!-Debt!#REF!</f>
        <v>#REF!</v>
      </c>
      <c r="L10" s="325"/>
      <c r="M10" s="323"/>
      <c r="N10" s="323"/>
      <c r="O10" s="323"/>
      <c r="P10" s="323"/>
      <c r="Q10" s="322"/>
      <c r="S10" s="322"/>
      <c r="T10" s="322"/>
    </row>
    <row r="11" spans="1:20">
      <c r="A11" s="321">
        <v>1967</v>
      </c>
      <c r="B11" s="306" t="e">
        <f>Debt!#REF!</f>
        <v>#REF!</v>
      </c>
      <c r="C11" s="306" t="e">
        <f t="shared" si="0"/>
        <v>#REF!</v>
      </c>
      <c r="D11" s="306"/>
      <c r="E11" s="306" t="e">
        <f>Deficit!#REF!</f>
        <v>#REF!</v>
      </c>
      <c r="F11" s="306"/>
      <c r="G11" s="306"/>
      <c r="H11" s="306" t="e">
        <f>Debt!#REF!-Debt!#REF!</f>
        <v>#REF!</v>
      </c>
      <c r="L11" s="325" t="s">
        <v>475</v>
      </c>
      <c r="M11" s="326" t="e">
        <f>AVERAGE(E6:E24)</f>
        <v>#REF!</v>
      </c>
      <c r="N11" s="326" t="e">
        <f>AVERAGE(E25:E32)</f>
        <v>#REF!</v>
      </c>
      <c r="O11" s="326" t="e">
        <f>AVERAGE(E33:E47)</f>
        <v>#REF!</v>
      </c>
      <c r="P11" s="326" t="e">
        <f>AVERAGE(E48:E57)</f>
        <v>#REF!</v>
      </c>
      <c r="Q11" s="322"/>
      <c r="S11" s="322"/>
      <c r="T11" s="322"/>
    </row>
    <row r="12" spans="1:20">
      <c r="A12" s="321">
        <v>1968</v>
      </c>
      <c r="B12" s="306" t="e">
        <f>Debt!#REF!</f>
        <v>#REF!</v>
      </c>
      <c r="C12" s="306" t="e">
        <f t="shared" si="0"/>
        <v>#REF!</v>
      </c>
      <c r="D12" s="306"/>
      <c r="E12" s="306" t="e">
        <f>Deficit!#REF!</f>
        <v>#REF!</v>
      </c>
      <c r="F12" s="306"/>
      <c r="G12" s="306"/>
      <c r="H12" s="306" t="e">
        <f>Debt!#REF!-Debt!#REF!</f>
        <v>#REF!</v>
      </c>
      <c r="L12" s="322"/>
      <c r="M12" s="322"/>
      <c r="N12" s="322"/>
      <c r="O12" s="322"/>
      <c r="P12" s="322"/>
      <c r="Q12" s="322"/>
      <c r="S12" s="322"/>
      <c r="T12" s="322"/>
    </row>
    <row r="13" spans="1:20">
      <c r="A13" s="321">
        <v>1969</v>
      </c>
      <c r="B13" s="306" t="e">
        <f>Debt!#REF!</f>
        <v>#REF!</v>
      </c>
      <c r="C13" s="306" t="e">
        <f t="shared" si="0"/>
        <v>#REF!</v>
      </c>
      <c r="D13" s="306"/>
      <c r="E13" s="306" t="e">
        <f>Deficit!#REF!</f>
        <v>#REF!</v>
      </c>
      <c r="F13" s="306"/>
      <c r="G13" s="306"/>
      <c r="H13" s="306" t="e">
        <f>Debt!#REF!-Debt!#REF!</f>
        <v>#REF!</v>
      </c>
      <c r="L13" s="322"/>
      <c r="M13" s="322"/>
      <c r="N13" s="322"/>
      <c r="O13" s="322"/>
      <c r="P13" s="322"/>
      <c r="Q13" s="322"/>
      <c r="R13" s="322"/>
      <c r="S13" s="322"/>
      <c r="T13" s="322"/>
    </row>
    <row r="14" spans="1:20">
      <c r="A14" s="321">
        <v>1970</v>
      </c>
      <c r="B14" s="306" t="e">
        <f>Debt!#REF!</f>
        <v>#REF!</v>
      </c>
      <c r="C14" s="306" t="e">
        <f t="shared" si="0"/>
        <v>#REF!</v>
      </c>
      <c r="D14" s="306"/>
      <c r="E14" s="306" t="e">
        <f>Deficit!#REF!</f>
        <v>#REF!</v>
      </c>
      <c r="F14" s="306"/>
      <c r="G14" s="306"/>
      <c r="H14" s="306" t="e">
        <f>Debt!#REF!-Debt!#REF!</f>
        <v>#REF!</v>
      </c>
      <c r="L14" s="322"/>
      <c r="M14" s="322"/>
      <c r="N14" s="322"/>
      <c r="O14" s="322"/>
      <c r="P14" s="322"/>
      <c r="Q14" s="322"/>
      <c r="R14" s="322"/>
      <c r="S14" s="322"/>
      <c r="T14" s="322"/>
    </row>
    <row r="15" spans="1:20">
      <c r="A15" s="321">
        <v>1971</v>
      </c>
      <c r="B15" s="306" t="e">
        <f>Debt!#REF!</f>
        <v>#REF!</v>
      </c>
      <c r="C15" s="306" t="e">
        <f t="shared" si="0"/>
        <v>#REF!</v>
      </c>
      <c r="D15" s="306"/>
      <c r="E15" s="306" t="e">
        <f>Deficit!#REF!</f>
        <v>#REF!</v>
      </c>
      <c r="F15" s="306"/>
      <c r="G15" s="306"/>
      <c r="H15" s="306" t="e">
        <f>Debt!#REF!-Debt!#REF!</f>
        <v>#REF!</v>
      </c>
      <c r="L15" s="322"/>
      <c r="M15" s="322"/>
      <c r="N15" s="322"/>
      <c r="O15" s="322"/>
      <c r="P15" s="322"/>
      <c r="Q15" s="322"/>
      <c r="R15" s="322"/>
      <c r="S15" s="322"/>
      <c r="T15" s="322"/>
    </row>
    <row r="16" spans="1:20">
      <c r="A16" s="321">
        <v>1972</v>
      </c>
      <c r="B16" s="306" t="e">
        <f>Debt!#REF!</f>
        <v>#REF!</v>
      </c>
      <c r="C16" s="306" t="e">
        <f t="shared" si="0"/>
        <v>#REF!</v>
      </c>
      <c r="D16" s="306"/>
      <c r="E16" s="306" t="e">
        <f>Deficit!#REF!</f>
        <v>#REF!</v>
      </c>
      <c r="F16" s="306"/>
      <c r="G16" s="306"/>
      <c r="H16" s="306" t="e">
        <f>Debt!#REF!-Debt!#REF!</f>
        <v>#REF!</v>
      </c>
    </row>
    <row r="17" spans="1:8">
      <c r="A17" s="321">
        <v>1973</v>
      </c>
      <c r="B17" s="306" t="e">
        <f>Debt!#REF!</f>
        <v>#REF!</v>
      </c>
      <c r="C17" s="306" t="e">
        <f t="shared" si="0"/>
        <v>#REF!</v>
      </c>
      <c r="D17" s="306"/>
      <c r="E17" s="306" t="e">
        <f>Deficit!#REF!</f>
        <v>#REF!</v>
      </c>
      <c r="F17" s="306"/>
      <c r="G17" s="306"/>
      <c r="H17" s="306" t="e">
        <f>Debt!#REF!-Debt!#REF!</f>
        <v>#REF!</v>
      </c>
    </row>
    <row r="18" spans="1:8">
      <c r="A18" s="321">
        <v>1974</v>
      </c>
      <c r="B18" s="306" t="e">
        <f>Debt!#REF!</f>
        <v>#REF!</v>
      </c>
      <c r="C18" s="306" t="e">
        <f t="shared" si="0"/>
        <v>#REF!</v>
      </c>
      <c r="D18" s="306"/>
      <c r="E18" s="306" t="e">
        <f>Deficit!#REF!</f>
        <v>#REF!</v>
      </c>
      <c r="F18" s="306"/>
      <c r="G18" s="306"/>
      <c r="H18" s="306" t="e">
        <f>Debt!#REF!-Debt!#REF!</f>
        <v>#REF!</v>
      </c>
    </row>
    <row r="19" spans="1:8">
      <c r="A19" s="321">
        <v>1975</v>
      </c>
      <c r="B19" s="306" t="e">
        <f>Debt!#REF!</f>
        <v>#REF!</v>
      </c>
      <c r="C19" s="306" t="e">
        <f t="shared" si="0"/>
        <v>#REF!</v>
      </c>
      <c r="D19" s="306"/>
      <c r="E19" s="306" t="e">
        <f>Deficit!#REF!</f>
        <v>#REF!</v>
      </c>
      <c r="F19" s="306"/>
      <c r="G19" s="306"/>
      <c r="H19" s="306" t="e">
        <f>Debt!#REF!-Debt!#REF!</f>
        <v>#REF!</v>
      </c>
    </row>
    <row r="20" spans="1:8">
      <c r="A20" s="321">
        <v>1976</v>
      </c>
      <c r="B20" s="306" t="e">
        <f>Debt!#REF!</f>
        <v>#REF!</v>
      </c>
      <c r="C20" s="306" t="e">
        <f t="shared" si="0"/>
        <v>#REF!</v>
      </c>
      <c r="D20" s="306"/>
      <c r="E20" s="306" t="e">
        <f>Deficit!#REF!</f>
        <v>#REF!</v>
      </c>
      <c r="F20" s="306"/>
      <c r="G20" s="306"/>
      <c r="H20" s="306" t="e">
        <f>Debt!#REF!-Debt!#REF!</f>
        <v>#REF!</v>
      </c>
    </row>
    <row r="21" spans="1:8">
      <c r="A21" s="321">
        <v>1977</v>
      </c>
      <c r="B21" s="306" t="e">
        <f>Debt!#REF!</f>
        <v>#REF!</v>
      </c>
      <c r="C21" s="306" t="e">
        <f t="shared" si="0"/>
        <v>#REF!</v>
      </c>
      <c r="D21" s="306"/>
      <c r="E21" s="306" t="e">
        <f>Deficit!#REF!</f>
        <v>#REF!</v>
      </c>
      <c r="F21" s="306"/>
      <c r="G21" s="306"/>
      <c r="H21" s="306" t="e">
        <f>Debt!#REF!-Debt!#REF!</f>
        <v>#REF!</v>
      </c>
    </row>
    <row r="22" spans="1:8">
      <c r="A22" s="321">
        <v>1978</v>
      </c>
      <c r="B22" s="306" t="e">
        <f>Debt!#REF!</f>
        <v>#REF!</v>
      </c>
      <c r="C22" s="306" t="e">
        <f t="shared" si="0"/>
        <v>#REF!</v>
      </c>
      <c r="D22" s="306"/>
      <c r="E22" s="306" t="e">
        <f>Deficit!#REF!</f>
        <v>#REF!</v>
      </c>
      <c r="F22" s="306"/>
      <c r="G22" s="306"/>
      <c r="H22" s="306" t="e">
        <f>Debt!#REF!-Debt!#REF!</f>
        <v>#REF!</v>
      </c>
    </row>
    <row r="23" spans="1:8">
      <c r="A23" s="321">
        <v>1979</v>
      </c>
      <c r="B23" s="306" t="e">
        <f>Debt!#REF!</f>
        <v>#REF!</v>
      </c>
      <c r="C23" s="306" t="e">
        <f t="shared" si="0"/>
        <v>#REF!</v>
      </c>
      <c r="D23" s="306"/>
      <c r="E23" s="306" t="e">
        <f>Deficit!#REF!</f>
        <v>#REF!</v>
      </c>
      <c r="F23" s="306"/>
      <c r="G23" s="306"/>
      <c r="H23" s="306" t="e">
        <f>Debt!#REF!-Debt!#REF!</f>
        <v>#REF!</v>
      </c>
    </row>
    <row r="24" spans="1:8">
      <c r="A24" s="327">
        <v>1980</v>
      </c>
      <c r="B24" s="306" t="e">
        <f>Debt!#REF!</f>
        <v>#REF!</v>
      </c>
      <c r="C24" s="306" t="e">
        <f t="shared" si="0"/>
        <v>#REF!</v>
      </c>
      <c r="D24" s="306"/>
      <c r="E24" s="306" t="e">
        <f>Deficit!#REF!</f>
        <v>#REF!</v>
      </c>
      <c r="F24" s="306"/>
      <c r="G24" s="306"/>
      <c r="H24" s="306" t="e">
        <f>Debt!#REF!-Debt!#REF!</f>
        <v>#REF!</v>
      </c>
    </row>
    <row r="25" spans="1:8">
      <c r="A25" s="321">
        <v>1981</v>
      </c>
      <c r="B25" s="306" t="e">
        <f>Debt!#REF!</f>
        <v>#REF!</v>
      </c>
      <c r="C25" s="306" t="e">
        <f t="shared" si="0"/>
        <v>#REF!</v>
      </c>
      <c r="D25" s="306"/>
      <c r="E25" s="306" t="e">
        <f>Deficit!#REF!</f>
        <v>#REF!</v>
      </c>
      <c r="F25" s="306"/>
      <c r="G25" s="306"/>
      <c r="H25" s="306" t="e">
        <f>Debt!#REF!-Debt!#REF!</f>
        <v>#REF!</v>
      </c>
    </row>
    <row r="26" spans="1:8">
      <c r="A26" s="321">
        <v>1982</v>
      </c>
      <c r="B26" s="306" t="e">
        <f>Debt!#REF!</f>
        <v>#REF!</v>
      </c>
      <c r="C26" s="306" t="e">
        <f t="shared" si="0"/>
        <v>#REF!</v>
      </c>
      <c r="D26" s="306"/>
      <c r="E26" s="306" t="e">
        <f>Deficit!#REF!</f>
        <v>#REF!</v>
      </c>
      <c r="F26" s="306"/>
      <c r="G26" s="306"/>
      <c r="H26" s="306" t="e">
        <f>Debt!#REF!-Debt!#REF!</f>
        <v>#REF!</v>
      </c>
    </row>
    <row r="27" spans="1:8">
      <c r="A27" s="321">
        <v>1983</v>
      </c>
      <c r="B27" s="306" t="e">
        <f>Debt!#REF!</f>
        <v>#REF!</v>
      </c>
      <c r="C27" s="306" t="e">
        <f t="shared" si="0"/>
        <v>#REF!</v>
      </c>
      <c r="D27" s="306"/>
      <c r="E27" s="306" t="e">
        <f>Deficit!#REF!</f>
        <v>#REF!</v>
      </c>
      <c r="F27" s="306"/>
      <c r="G27" s="306"/>
      <c r="H27" s="306" t="e">
        <f>Debt!#REF!-Debt!#REF!</f>
        <v>#REF!</v>
      </c>
    </row>
    <row r="28" spans="1:8">
      <c r="A28" s="321">
        <v>1984</v>
      </c>
      <c r="B28" s="306" t="e">
        <f>Debt!#REF!</f>
        <v>#REF!</v>
      </c>
      <c r="C28" s="306" t="e">
        <f t="shared" si="0"/>
        <v>#REF!</v>
      </c>
      <c r="D28" s="306"/>
      <c r="E28" s="306" t="e">
        <f>Deficit!#REF!</f>
        <v>#REF!</v>
      </c>
      <c r="F28" s="306"/>
      <c r="G28" s="306"/>
      <c r="H28" s="306" t="e">
        <f>Debt!#REF!-Debt!#REF!</f>
        <v>#REF!</v>
      </c>
    </row>
    <row r="29" spans="1:8">
      <c r="A29" s="321">
        <v>1985</v>
      </c>
      <c r="B29" s="306" t="e">
        <f>Debt!#REF!</f>
        <v>#REF!</v>
      </c>
      <c r="C29" s="306" t="e">
        <f t="shared" si="0"/>
        <v>#REF!</v>
      </c>
      <c r="D29" s="306"/>
      <c r="E29" s="306" t="e">
        <f>Deficit!#REF!</f>
        <v>#REF!</v>
      </c>
      <c r="F29" s="306"/>
      <c r="G29" s="306"/>
      <c r="H29" s="306" t="e">
        <f>Debt!#REF!-Debt!#REF!</f>
        <v>#REF!</v>
      </c>
    </row>
    <row r="30" spans="1:8">
      <c r="A30" s="321">
        <v>1986</v>
      </c>
      <c r="B30" s="306" t="e">
        <f>Debt!#REF!</f>
        <v>#REF!</v>
      </c>
      <c r="C30" s="306" t="e">
        <f t="shared" si="0"/>
        <v>#REF!</v>
      </c>
      <c r="D30" s="306"/>
      <c r="E30" s="306" t="e">
        <f>Deficit!#REF!</f>
        <v>#REF!</v>
      </c>
      <c r="F30" s="306"/>
      <c r="G30" s="306"/>
      <c r="H30" s="306" t="e">
        <f>Debt!#REF!-Debt!#REF!</f>
        <v>#REF!</v>
      </c>
    </row>
    <row r="31" spans="1:8">
      <c r="A31" s="321">
        <v>1987</v>
      </c>
      <c r="B31" s="306" t="e">
        <f>Debt!#REF!</f>
        <v>#REF!</v>
      </c>
      <c r="C31" s="306" t="e">
        <f t="shared" si="0"/>
        <v>#REF!</v>
      </c>
      <c r="D31" s="306"/>
      <c r="E31" s="306" t="e">
        <f>Deficit!#REF!</f>
        <v>#REF!</v>
      </c>
      <c r="F31" s="306"/>
      <c r="G31" s="306"/>
      <c r="H31" s="306" t="e">
        <f>Debt!#REF!-Debt!#REF!</f>
        <v>#REF!</v>
      </c>
    </row>
    <row r="32" spans="1:8">
      <c r="A32" s="321">
        <v>1988</v>
      </c>
      <c r="B32" s="306" t="e">
        <f>Debt!#REF!</f>
        <v>#REF!</v>
      </c>
      <c r="C32" s="306" t="e">
        <f t="shared" si="0"/>
        <v>#REF!</v>
      </c>
      <c r="D32" s="306"/>
      <c r="E32" s="306" t="e">
        <f>Deficit!#REF!</f>
        <v>#REF!</v>
      </c>
      <c r="F32" s="306"/>
      <c r="G32" s="306"/>
      <c r="H32" s="306" t="e">
        <f>Debt!#REF!-Debt!#REF!</f>
        <v>#REF!</v>
      </c>
    </row>
    <row r="33" spans="1:8">
      <c r="A33" s="321">
        <v>1989</v>
      </c>
      <c r="B33" s="306" t="e">
        <f>Debt!#REF!</f>
        <v>#REF!</v>
      </c>
      <c r="C33" s="306" t="e">
        <f t="shared" si="0"/>
        <v>#REF!</v>
      </c>
      <c r="D33" s="306"/>
      <c r="E33" s="306" t="e">
        <f>Deficit!#REF!</f>
        <v>#REF!</v>
      </c>
      <c r="F33" s="306"/>
      <c r="G33" s="306"/>
      <c r="H33" s="306" t="e">
        <f>Debt!#REF!-Debt!#REF!</f>
        <v>#REF!</v>
      </c>
    </row>
    <row r="34" spans="1:8">
      <c r="A34" s="321">
        <v>1990</v>
      </c>
      <c r="B34" s="306" t="e">
        <f>Debt!#REF!</f>
        <v>#REF!</v>
      </c>
      <c r="C34" s="306" t="e">
        <f t="shared" si="0"/>
        <v>#REF!</v>
      </c>
      <c r="D34" s="306"/>
      <c r="E34" s="306" t="e">
        <f>Deficit!#REF!</f>
        <v>#REF!</v>
      </c>
      <c r="F34" s="306"/>
      <c r="G34" s="306"/>
      <c r="H34" s="306" t="e">
        <f>Debt!#REF!-Debt!#REF!</f>
        <v>#REF!</v>
      </c>
    </row>
    <row r="35" spans="1:8">
      <c r="A35" s="321">
        <v>1991</v>
      </c>
      <c r="B35" s="306" t="e">
        <f>Debt!#REF!</f>
        <v>#REF!</v>
      </c>
      <c r="C35" s="306" t="e">
        <f t="shared" si="0"/>
        <v>#REF!</v>
      </c>
      <c r="D35" s="306"/>
      <c r="E35" s="306" t="e">
        <f>Deficit!#REF!</f>
        <v>#REF!</v>
      </c>
      <c r="F35" s="306"/>
      <c r="G35" s="306"/>
      <c r="H35" s="306" t="e">
        <f>Debt!#REF!-Debt!#REF!</f>
        <v>#REF!</v>
      </c>
    </row>
    <row r="36" spans="1:8">
      <c r="A36" s="321">
        <v>1992</v>
      </c>
      <c r="B36" s="306" t="e">
        <f>Debt!#REF!</f>
        <v>#REF!</v>
      </c>
      <c r="C36" s="306" t="e">
        <f t="shared" si="0"/>
        <v>#REF!</v>
      </c>
      <c r="D36" s="306"/>
      <c r="E36" s="306" t="e">
        <f>Deficit!#REF!</f>
        <v>#REF!</v>
      </c>
      <c r="F36" s="306"/>
      <c r="G36" s="306"/>
      <c r="H36" s="306" t="e">
        <f>Debt!#REF!-Debt!#REF!</f>
        <v>#REF!</v>
      </c>
    </row>
    <row r="37" spans="1:8">
      <c r="A37" s="321">
        <v>1993</v>
      </c>
      <c r="B37" s="306" t="e">
        <f>Debt!#REF!</f>
        <v>#REF!</v>
      </c>
      <c r="C37" s="306" t="e">
        <f t="shared" si="0"/>
        <v>#REF!</v>
      </c>
      <c r="D37" s="306"/>
      <c r="E37" s="306" t="e">
        <f>Deficit!#REF!</f>
        <v>#REF!</v>
      </c>
      <c r="F37" s="306"/>
      <c r="G37" s="306"/>
      <c r="H37" s="306" t="e">
        <f>Debt!#REF!-Debt!#REF!</f>
        <v>#REF!</v>
      </c>
    </row>
    <row r="38" spans="1:8">
      <c r="A38" s="321">
        <v>1994</v>
      </c>
      <c r="B38" s="306" t="e">
        <f>Debt!#REF!</f>
        <v>#REF!</v>
      </c>
      <c r="C38" s="306" t="e">
        <f t="shared" ref="C38:C58" si="1">E38-B38</f>
        <v>#REF!</v>
      </c>
      <c r="D38" s="306"/>
      <c r="E38" s="306" t="e">
        <f>Deficit!#REF!</f>
        <v>#REF!</v>
      </c>
      <c r="F38" s="306"/>
      <c r="G38" s="306"/>
      <c r="H38" s="306" t="e">
        <f>Debt!#REF!-Debt!#REF!</f>
        <v>#REF!</v>
      </c>
    </row>
    <row r="39" spans="1:8">
      <c r="A39" s="321">
        <v>1995</v>
      </c>
      <c r="B39" s="306" t="e">
        <f>Debt!#REF!</f>
        <v>#REF!</v>
      </c>
      <c r="C39" s="306" t="e">
        <f t="shared" si="1"/>
        <v>#REF!</v>
      </c>
      <c r="D39" s="306"/>
      <c r="E39" s="306" t="e">
        <f>Deficit!#REF!</f>
        <v>#REF!</v>
      </c>
      <c r="F39" s="306"/>
      <c r="G39" s="306"/>
      <c r="H39" s="306" t="e">
        <f>Debt!#REF!-Debt!#REF!</f>
        <v>#REF!</v>
      </c>
    </row>
    <row r="40" spans="1:8">
      <c r="A40" s="321">
        <v>1996</v>
      </c>
      <c r="B40" s="306" t="e">
        <f>Debt!#REF!</f>
        <v>#REF!</v>
      </c>
      <c r="C40" s="306" t="e">
        <f t="shared" si="1"/>
        <v>#REF!</v>
      </c>
      <c r="D40" s="306"/>
      <c r="E40" s="306" t="e">
        <f>Deficit!#REF!</f>
        <v>#REF!</v>
      </c>
      <c r="F40" s="306"/>
      <c r="G40" s="306"/>
      <c r="H40" s="306" t="e">
        <f>Debt!#REF!-Debt!#REF!</f>
        <v>#REF!</v>
      </c>
    </row>
    <row r="41" spans="1:8">
      <c r="A41" s="321">
        <v>1997</v>
      </c>
      <c r="B41" s="306" t="e">
        <f>Debt!#REF!</f>
        <v>#REF!</v>
      </c>
      <c r="C41" s="306" t="e">
        <f t="shared" si="1"/>
        <v>#REF!</v>
      </c>
      <c r="D41" s="306"/>
      <c r="E41" s="306" t="e">
        <f>Deficit!#REF!</f>
        <v>#REF!</v>
      </c>
      <c r="F41" s="306"/>
      <c r="G41" s="306"/>
      <c r="H41" s="306" t="e">
        <f>Debt!#REF!-Debt!#REF!</f>
        <v>#REF!</v>
      </c>
    </row>
    <row r="42" spans="1:8">
      <c r="A42" s="321">
        <v>1998</v>
      </c>
      <c r="B42" s="306" t="e">
        <f>Debt!#REF!</f>
        <v>#REF!</v>
      </c>
      <c r="C42" s="306" t="e">
        <f t="shared" si="1"/>
        <v>#REF!</v>
      </c>
      <c r="D42" s="306"/>
      <c r="E42" s="306" t="e">
        <f>Deficit!#REF!</f>
        <v>#REF!</v>
      </c>
      <c r="F42" s="306"/>
      <c r="G42" s="306"/>
      <c r="H42" s="306" t="e">
        <f>Debt!#REF!-Debt!#REF!</f>
        <v>#REF!</v>
      </c>
    </row>
    <row r="43" spans="1:8">
      <c r="A43" s="321">
        <v>1999</v>
      </c>
      <c r="B43" s="306" t="e">
        <f>Debt!#REF!</f>
        <v>#REF!</v>
      </c>
      <c r="C43" s="306" t="e">
        <f t="shared" si="1"/>
        <v>#REF!</v>
      </c>
      <c r="D43" s="306"/>
      <c r="E43" s="306" t="e">
        <f>Deficit!#REF!</f>
        <v>#REF!</v>
      </c>
      <c r="F43" s="306"/>
      <c r="G43" s="306"/>
      <c r="H43" s="306" t="e">
        <f>Debt!#REF!-Debt!#REF!</f>
        <v>#REF!</v>
      </c>
    </row>
    <row r="44" spans="1:8">
      <c r="A44" s="321">
        <v>2000</v>
      </c>
      <c r="B44" s="306" t="e">
        <f>Debt!#REF!</f>
        <v>#REF!</v>
      </c>
      <c r="C44" s="306" t="e">
        <f t="shared" si="1"/>
        <v>#REF!</v>
      </c>
      <c r="D44" s="306"/>
      <c r="E44" s="306" t="e">
        <f>Deficit!#REF!</f>
        <v>#REF!</v>
      </c>
      <c r="F44" s="306"/>
      <c r="G44" s="306"/>
      <c r="H44" s="306" t="e">
        <f>Debt!#REF!-Debt!#REF!</f>
        <v>#REF!</v>
      </c>
    </row>
    <row r="45" spans="1:8">
      <c r="A45" s="321">
        <v>2001</v>
      </c>
      <c r="B45" s="306" t="e">
        <f>Debt!#REF!</f>
        <v>#REF!</v>
      </c>
      <c r="C45" s="306" t="e">
        <f t="shared" si="1"/>
        <v>#REF!</v>
      </c>
      <c r="D45" s="306"/>
      <c r="E45" s="306" t="e">
        <f>Deficit!#REF!</f>
        <v>#REF!</v>
      </c>
      <c r="F45" s="306"/>
      <c r="G45" s="306"/>
      <c r="H45" s="306" t="e">
        <f>Debt!#REF!-Debt!#REF!</f>
        <v>#REF!</v>
      </c>
    </row>
    <row r="46" spans="1:8">
      <c r="A46" s="321">
        <v>2002</v>
      </c>
      <c r="B46" s="306" t="e">
        <f>Debt!#REF!</f>
        <v>#REF!</v>
      </c>
      <c r="C46" s="306" t="e">
        <f t="shared" si="1"/>
        <v>#REF!</v>
      </c>
      <c r="D46" s="306"/>
      <c r="E46" s="306" t="e">
        <f>Deficit!#REF!</f>
        <v>#REF!</v>
      </c>
      <c r="F46" s="306"/>
      <c r="G46" s="306"/>
      <c r="H46" s="306" t="e">
        <f>Debt!#REF!-Debt!#REF!</f>
        <v>#REF!</v>
      </c>
    </row>
    <row r="47" spans="1:8">
      <c r="A47" s="321">
        <v>2003</v>
      </c>
      <c r="B47" s="306" t="e">
        <f>Debt!#REF!</f>
        <v>#REF!</v>
      </c>
      <c r="C47" s="306" t="e">
        <f t="shared" si="1"/>
        <v>#REF!</v>
      </c>
      <c r="D47" s="306"/>
      <c r="E47" s="306" t="e">
        <f>Deficit!#REF!</f>
        <v>#REF!</v>
      </c>
      <c r="F47" s="306"/>
      <c r="G47" s="306"/>
      <c r="H47" s="306" t="e">
        <f>Debt!#REF!-Debt!#REF!</f>
        <v>#REF!</v>
      </c>
    </row>
    <row r="48" spans="1:8">
      <c r="A48" s="321">
        <v>2004</v>
      </c>
      <c r="B48" s="306" t="e">
        <f>Debt!#REF!</f>
        <v>#REF!</v>
      </c>
      <c r="C48" s="306" t="e">
        <f t="shared" si="1"/>
        <v>#REF!</v>
      </c>
      <c r="D48" s="306"/>
      <c r="E48" s="306" t="e">
        <f>Deficit!#REF!</f>
        <v>#REF!</v>
      </c>
      <c r="F48" s="306"/>
      <c r="G48" s="306"/>
      <c r="H48" s="306" t="e">
        <f>Debt!#REF!-Debt!#REF!</f>
        <v>#REF!</v>
      </c>
    </row>
    <row r="49" spans="1:8">
      <c r="A49" s="321">
        <v>2005</v>
      </c>
      <c r="B49" s="306" t="e">
        <f>Debt!#REF!</f>
        <v>#REF!</v>
      </c>
      <c r="C49" s="306" t="e">
        <f t="shared" si="1"/>
        <v>#REF!</v>
      </c>
      <c r="D49" s="306"/>
      <c r="E49" s="306" t="e">
        <f>Deficit!#REF!</f>
        <v>#REF!</v>
      </c>
      <c r="F49" s="306"/>
      <c r="G49" s="306"/>
      <c r="H49" s="306" t="e">
        <f>Debt!#REF!-Debt!#REF!</f>
        <v>#REF!</v>
      </c>
    </row>
    <row r="50" spans="1:8">
      <c r="A50" s="321">
        <v>2006</v>
      </c>
      <c r="B50" s="306" t="e">
        <f>Debt!#REF!</f>
        <v>#REF!</v>
      </c>
      <c r="C50" s="306" t="e">
        <f t="shared" si="1"/>
        <v>#REF!</v>
      </c>
      <c r="D50" s="306"/>
      <c r="E50" s="306" t="e">
        <f>Deficit!#REF!</f>
        <v>#REF!</v>
      </c>
      <c r="F50" s="306"/>
      <c r="G50" s="306"/>
      <c r="H50" s="306" t="e">
        <f>Debt!#REF!-Debt!#REF!</f>
        <v>#REF!</v>
      </c>
    </row>
    <row r="51" spans="1:8">
      <c r="A51" s="321">
        <v>2007</v>
      </c>
      <c r="B51" s="306" t="e">
        <f>Debt!#REF!</f>
        <v>#REF!</v>
      </c>
      <c r="C51" s="306" t="e">
        <f t="shared" si="1"/>
        <v>#REF!</v>
      </c>
      <c r="D51" s="306"/>
      <c r="E51" s="306" t="e">
        <f>Deficit!#REF!</f>
        <v>#REF!</v>
      </c>
      <c r="F51" s="306"/>
      <c r="G51" s="306"/>
      <c r="H51" s="306" t="e">
        <f>Debt!#REF!-Debt!#REF!</f>
        <v>#REF!</v>
      </c>
    </row>
    <row r="52" spans="1:8">
      <c r="A52" s="321">
        <v>2008</v>
      </c>
      <c r="B52" s="306" t="e">
        <f>Debt!#REF!</f>
        <v>#REF!</v>
      </c>
      <c r="C52" s="306" t="e">
        <f t="shared" si="1"/>
        <v>#REF!</v>
      </c>
      <c r="D52" s="306"/>
      <c r="E52" s="306" t="e">
        <f>Deficit!#REF!</f>
        <v>#REF!</v>
      </c>
      <c r="F52" s="306"/>
      <c r="G52" s="306"/>
      <c r="H52" s="306" t="e">
        <f>Debt!#REF!-Debt!#REF!</f>
        <v>#REF!</v>
      </c>
    </row>
    <row r="53" spans="1:8">
      <c r="A53" s="321">
        <v>2009</v>
      </c>
      <c r="B53" s="306" t="e">
        <f>Debt!#REF!</f>
        <v>#REF!</v>
      </c>
      <c r="C53" s="306" t="e">
        <f t="shared" si="1"/>
        <v>#REF!</v>
      </c>
      <c r="D53" s="306"/>
      <c r="E53" s="306" t="e">
        <f>Deficit!#REF!</f>
        <v>#REF!</v>
      </c>
      <c r="F53" s="306"/>
      <c r="G53" s="306"/>
      <c r="H53" s="306" t="e">
        <f>Debt!#REF!-Debt!#REF!</f>
        <v>#REF!</v>
      </c>
    </row>
    <row r="54" spans="1:8">
      <c r="A54" s="321">
        <v>2010</v>
      </c>
      <c r="B54" s="306" t="e">
        <f>Debt!#REF!</f>
        <v>#REF!</v>
      </c>
      <c r="C54" s="306" t="e">
        <f t="shared" si="1"/>
        <v>#REF!</v>
      </c>
      <c r="D54" s="306"/>
      <c r="E54" s="306" t="e">
        <f>Deficit!#REF!</f>
        <v>#REF!</v>
      </c>
      <c r="F54" s="306"/>
      <c r="G54" s="306"/>
      <c r="H54" s="306" t="e">
        <f>Debt!#REF!-Debt!#REF!</f>
        <v>#REF!</v>
      </c>
    </row>
    <row r="55" spans="1:8">
      <c r="A55" s="321">
        <v>2011</v>
      </c>
      <c r="B55" s="306" t="e">
        <f>Debt!#REF!</f>
        <v>#REF!</v>
      </c>
      <c r="C55" s="306" t="e">
        <f t="shared" si="1"/>
        <v>#REF!</v>
      </c>
      <c r="D55" s="306"/>
      <c r="E55" s="306" t="e">
        <f>Deficit!#REF!</f>
        <v>#REF!</v>
      </c>
      <c r="F55" s="306"/>
      <c r="G55" s="306"/>
      <c r="H55" s="306" t="e">
        <f>Debt!#REF!-Debt!#REF!</f>
        <v>#REF!</v>
      </c>
    </row>
    <row r="56" spans="1:8">
      <c r="A56" s="321">
        <v>2012</v>
      </c>
      <c r="B56" s="306" t="e">
        <f>Debt!#REF!</f>
        <v>#REF!</v>
      </c>
      <c r="C56" s="306" t="e">
        <f t="shared" si="1"/>
        <v>#REF!</v>
      </c>
      <c r="D56" s="306"/>
      <c r="E56" s="306" t="e">
        <f>Deficit!#REF!</f>
        <v>#REF!</v>
      </c>
      <c r="F56" s="306"/>
      <c r="G56" s="306"/>
      <c r="H56" s="306" t="e">
        <f>Debt!#REF!-Debt!#REF!</f>
        <v>#REF!</v>
      </c>
    </row>
    <row r="57" spans="1:8">
      <c r="A57" s="321">
        <v>2013</v>
      </c>
      <c r="B57" s="306" t="e">
        <f>Debt!#REF!</f>
        <v>#REF!</v>
      </c>
      <c r="C57" s="306" t="e">
        <f t="shared" si="1"/>
        <v>#REF!</v>
      </c>
      <c r="D57" s="306"/>
      <c r="E57" s="306" t="e">
        <f>Deficit!#REF!</f>
        <v>#REF!</v>
      </c>
      <c r="F57" s="306"/>
      <c r="G57" s="306"/>
      <c r="H57" s="306" t="e">
        <f>Debt!#REF!-Debt!#REF!</f>
        <v>#REF!</v>
      </c>
    </row>
    <row r="58" spans="1:8">
      <c r="A58" s="321">
        <v>2014</v>
      </c>
      <c r="B58" s="306" t="e">
        <f>Debt!#REF!</f>
        <v>#REF!</v>
      </c>
      <c r="C58" s="306" t="e">
        <f t="shared" si="1"/>
        <v>#REF!</v>
      </c>
      <c r="D58" s="306"/>
      <c r="E58" s="306" t="e">
        <f>Deficit!#REF!</f>
        <v>#REF!</v>
      </c>
      <c r="F58" s="306"/>
      <c r="G58" s="306"/>
      <c r="H58" s="306" t="e">
        <f>Debt!#REF!-Debt!#REF!</f>
        <v>#REF!</v>
      </c>
    </row>
    <row r="66" spans="1:1">
      <c r="A66" s="43"/>
    </row>
    <row r="67" spans="1:1">
      <c r="A67" s="43"/>
    </row>
    <row r="68" spans="1:1">
      <c r="A68" s="43"/>
    </row>
    <row r="69" spans="1:1">
      <c r="A69" s="43"/>
    </row>
    <row r="70" spans="1:1">
      <c r="A70" s="43"/>
    </row>
    <row r="71" spans="1:1">
      <c r="A71" s="43"/>
    </row>
    <row r="72" spans="1:1">
      <c r="A72" s="43"/>
    </row>
    <row r="73" spans="1:1">
      <c r="A73" s="43"/>
    </row>
    <row r="74" spans="1:1">
      <c r="A74" s="43"/>
    </row>
    <row r="75" spans="1:1">
      <c r="A75" s="43"/>
    </row>
    <row r="76" spans="1:1">
      <c r="A76" s="43"/>
    </row>
    <row r="77" spans="1:1">
      <c r="A77" s="43"/>
    </row>
    <row r="78" spans="1:1">
      <c r="A78" s="43"/>
    </row>
    <row r="79" spans="1:1">
      <c r="A79" s="43"/>
    </row>
    <row r="80" spans="1:1">
      <c r="A80" s="43"/>
    </row>
    <row r="81" spans="1:1">
      <c r="A81" s="43"/>
    </row>
    <row r="82" spans="1:1">
      <c r="A82" s="43"/>
    </row>
    <row r="83" spans="1:1">
      <c r="A83" s="43"/>
    </row>
    <row r="84" spans="1:1">
      <c r="A84" s="43"/>
    </row>
    <row r="85" spans="1:1">
      <c r="A85" s="43"/>
    </row>
    <row r="86" spans="1:1">
      <c r="A86" s="43"/>
    </row>
  </sheetData>
  <mergeCells count="1">
    <mergeCell ref="A2:A3"/>
  </mergeCells>
  <pageMargins left="0.7" right="0.7" top="0.75" bottom="0.75" header="0.3" footer="0.3"/>
  <pageSetup paperSize="9" orientation="portrait" r:id="rId1"/>
  <legacy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97"/>
  <sheetViews>
    <sheetView topLeftCell="D4" zoomScale="70" zoomScaleNormal="70" zoomScalePageLayoutView="70" workbookViewId="0">
      <selection activeCell="Q19" sqref="Q19"/>
    </sheetView>
  </sheetViews>
  <sheetFormatPr defaultColWidth="9.109375" defaultRowHeight="14.4"/>
  <cols>
    <col min="1" max="1" width="20.6640625" style="236" customWidth="1"/>
    <col min="2" max="2" width="7.44140625" style="236" customWidth="1"/>
    <col min="3" max="4" width="9.109375" style="236" customWidth="1"/>
    <col min="5" max="5" width="9.109375" style="167" customWidth="1"/>
    <col min="6" max="6" width="10" style="236" bestFit="1" customWidth="1"/>
    <col min="7" max="16" width="9.109375" style="236"/>
    <col min="17" max="17" width="9.109375" style="77"/>
    <col min="18" max="256" width="9.109375" style="236"/>
    <col min="257" max="258" width="20.6640625" style="236" customWidth="1"/>
    <col min="259" max="260" width="9.109375" style="236" customWidth="1"/>
    <col min="261" max="512" width="9.109375" style="236"/>
    <col min="513" max="514" width="20.6640625" style="236" customWidth="1"/>
    <col min="515" max="516" width="9.109375" style="236" customWidth="1"/>
    <col min="517" max="768" width="9.109375" style="236"/>
    <col min="769" max="770" width="20.6640625" style="236" customWidth="1"/>
    <col min="771" max="772" width="9.109375" style="236" customWidth="1"/>
    <col min="773" max="1024" width="9.109375" style="236"/>
    <col min="1025" max="1026" width="20.6640625" style="236" customWidth="1"/>
    <col min="1027" max="1028" width="9.109375" style="236" customWidth="1"/>
    <col min="1029" max="1280" width="9.109375" style="236"/>
    <col min="1281" max="1282" width="20.6640625" style="236" customWidth="1"/>
    <col min="1283" max="1284" width="9.109375" style="236" customWidth="1"/>
    <col min="1285" max="1536" width="9.109375" style="236"/>
    <col min="1537" max="1538" width="20.6640625" style="236" customWidth="1"/>
    <col min="1539" max="1540" width="9.109375" style="236" customWidth="1"/>
    <col min="1541" max="1792" width="9.109375" style="236"/>
    <col min="1793" max="1794" width="20.6640625" style="236" customWidth="1"/>
    <col min="1795" max="1796" width="9.109375" style="236" customWidth="1"/>
    <col min="1797" max="2048" width="9.109375" style="236"/>
    <col min="2049" max="2050" width="20.6640625" style="236" customWidth="1"/>
    <col min="2051" max="2052" width="9.109375" style="236" customWidth="1"/>
    <col min="2053" max="2304" width="9.109375" style="236"/>
    <col min="2305" max="2306" width="20.6640625" style="236" customWidth="1"/>
    <col min="2307" max="2308" width="9.109375" style="236" customWidth="1"/>
    <col min="2309" max="2560" width="9.109375" style="236"/>
    <col min="2561" max="2562" width="20.6640625" style="236" customWidth="1"/>
    <col min="2563" max="2564" width="9.109375" style="236" customWidth="1"/>
    <col min="2565" max="2816" width="9.109375" style="236"/>
    <col min="2817" max="2818" width="20.6640625" style="236" customWidth="1"/>
    <col min="2819" max="2820" width="9.109375" style="236" customWidth="1"/>
    <col min="2821" max="3072" width="9.109375" style="236"/>
    <col min="3073" max="3074" width="20.6640625" style="236" customWidth="1"/>
    <col min="3075" max="3076" width="9.109375" style="236" customWidth="1"/>
    <col min="3077" max="3328" width="9.109375" style="236"/>
    <col min="3329" max="3330" width="20.6640625" style="236" customWidth="1"/>
    <col min="3331" max="3332" width="9.109375" style="236" customWidth="1"/>
    <col min="3333" max="3584" width="9.109375" style="236"/>
    <col min="3585" max="3586" width="20.6640625" style="236" customWidth="1"/>
    <col min="3587" max="3588" width="9.109375" style="236" customWidth="1"/>
    <col min="3589" max="3840" width="9.109375" style="236"/>
    <col min="3841" max="3842" width="20.6640625" style="236" customWidth="1"/>
    <col min="3843" max="3844" width="9.109375" style="236" customWidth="1"/>
    <col min="3845" max="4096" width="9.109375" style="236"/>
    <col min="4097" max="4098" width="20.6640625" style="236" customWidth="1"/>
    <col min="4099" max="4100" width="9.109375" style="236" customWidth="1"/>
    <col min="4101" max="4352" width="9.109375" style="236"/>
    <col min="4353" max="4354" width="20.6640625" style="236" customWidth="1"/>
    <col min="4355" max="4356" width="9.109375" style="236" customWidth="1"/>
    <col min="4357" max="4608" width="9.109375" style="236"/>
    <col min="4609" max="4610" width="20.6640625" style="236" customWidth="1"/>
    <col min="4611" max="4612" width="9.109375" style="236" customWidth="1"/>
    <col min="4613" max="4864" width="9.109375" style="236"/>
    <col min="4865" max="4866" width="20.6640625" style="236" customWidth="1"/>
    <col min="4867" max="4868" width="9.109375" style="236" customWidth="1"/>
    <col min="4869" max="5120" width="9.109375" style="236"/>
    <col min="5121" max="5122" width="20.6640625" style="236" customWidth="1"/>
    <col min="5123" max="5124" width="9.109375" style="236" customWidth="1"/>
    <col min="5125" max="5376" width="9.109375" style="236"/>
    <col min="5377" max="5378" width="20.6640625" style="236" customWidth="1"/>
    <col min="5379" max="5380" width="9.109375" style="236" customWidth="1"/>
    <col min="5381" max="5632" width="9.109375" style="236"/>
    <col min="5633" max="5634" width="20.6640625" style="236" customWidth="1"/>
    <col min="5635" max="5636" width="9.109375" style="236" customWidth="1"/>
    <col min="5637" max="5888" width="9.109375" style="236"/>
    <col min="5889" max="5890" width="20.6640625" style="236" customWidth="1"/>
    <col min="5891" max="5892" width="9.109375" style="236" customWidth="1"/>
    <col min="5893" max="6144" width="9.109375" style="236"/>
    <col min="6145" max="6146" width="20.6640625" style="236" customWidth="1"/>
    <col min="6147" max="6148" width="9.109375" style="236" customWidth="1"/>
    <col min="6149" max="6400" width="9.109375" style="236"/>
    <col min="6401" max="6402" width="20.6640625" style="236" customWidth="1"/>
    <col min="6403" max="6404" width="9.109375" style="236" customWidth="1"/>
    <col min="6405" max="6656" width="9.109375" style="236"/>
    <col min="6657" max="6658" width="20.6640625" style="236" customWidth="1"/>
    <col min="6659" max="6660" width="9.109375" style="236" customWidth="1"/>
    <col min="6661" max="6912" width="9.109375" style="236"/>
    <col min="6913" max="6914" width="20.6640625" style="236" customWidth="1"/>
    <col min="6915" max="6916" width="9.109375" style="236" customWidth="1"/>
    <col min="6917" max="7168" width="9.109375" style="236"/>
    <col min="7169" max="7170" width="20.6640625" style="236" customWidth="1"/>
    <col min="7171" max="7172" width="9.109375" style="236" customWidth="1"/>
    <col min="7173" max="7424" width="9.109375" style="236"/>
    <col min="7425" max="7426" width="20.6640625" style="236" customWidth="1"/>
    <col min="7427" max="7428" width="9.109375" style="236" customWidth="1"/>
    <col min="7429" max="7680" width="9.109375" style="236"/>
    <col min="7681" max="7682" width="20.6640625" style="236" customWidth="1"/>
    <col min="7683" max="7684" width="9.109375" style="236" customWidth="1"/>
    <col min="7685" max="7936" width="9.109375" style="236"/>
    <col min="7937" max="7938" width="20.6640625" style="236" customWidth="1"/>
    <col min="7939" max="7940" width="9.109375" style="236" customWidth="1"/>
    <col min="7941" max="8192" width="9.109375" style="236"/>
    <col min="8193" max="8194" width="20.6640625" style="236" customWidth="1"/>
    <col min="8195" max="8196" width="9.109375" style="236" customWidth="1"/>
    <col min="8197" max="8448" width="9.109375" style="236"/>
    <col min="8449" max="8450" width="20.6640625" style="236" customWidth="1"/>
    <col min="8451" max="8452" width="9.109375" style="236" customWidth="1"/>
    <col min="8453" max="8704" width="9.109375" style="236"/>
    <col min="8705" max="8706" width="20.6640625" style="236" customWidth="1"/>
    <col min="8707" max="8708" width="9.109375" style="236" customWidth="1"/>
    <col min="8709" max="8960" width="9.109375" style="236"/>
    <col min="8961" max="8962" width="20.6640625" style="236" customWidth="1"/>
    <col min="8963" max="8964" width="9.109375" style="236" customWidth="1"/>
    <col min="8965" max="9216" width="9.109375" style="236"/>
    <col min="9217" max="9218" width="20.6640625" style="236" customWidth="1"/>
    <col min="9219" max="9220" width="9.109375" style="236" customWidth="1"/>
    <col min="9221" max="9472" width="9.109375" style="236"/>
    <col min="9473" max="9474" width="20.6640625" style="236" customWidth="1"/>
    <col min="9475" max="9476" width="9.109375" style="236" customWidth="1"/>
    <col min="9477" max="9728" width="9.109375" style="236"/>
    <col min="9729" max="9730" width="20.6640625" style="236" customWidth="1"/>
    <col min="9731" max="9732" width="9.109375" style="236" customWidth="1"/>
    <col min="9733" max="9984" width="9.109375" style="236"/>
    <col min="9985" max="9986" width="20.6640625" style="236" customWidth="1"/>
    <col min="9987" max="9988" width="9.109375" style="236" customWidth="1"/>
    <col min="9989" max="10240" width="9.109375" style="236"/>
    <col min="10241" max="10242" width="20.6640625" style="236" customWidth="1"/>
    <col min="10243" max="10244" width="9.109375" style="236" customWidth="1"/>
    <col min="10245" max="10496" width="9.109375" style="236"/>
    <col min="10497" max="10498" width="20.6640625" style="236" customWidth="1"/>
    <col min="10499" max="10500" width="9.109375" style="236" customWidth="1"/>
    <col min="10501" max="10752" width="9.109375" style="236"/>
    <col min="10753" max="10754" width="20.6640625" style="236" customWidth="1"/>
    <col min="10755" max="10756" width="9.109375" style="236" customWidth="1"/>
    <col min="10757" max="11008" width="9.109375" style="236"/>
    <col min="11009" max="11010" width="20.6640625" style="236" customWidth="1"/>
    <col min="11011" max="11012" width="9.109375" style="236" customWidth="1"/>
    <col min="11013" max="11264" width="9.109375" style="236"/>
    <col min="11265" max="11266" width="20.6640625" style="236" customWidth="1"/>
    <col min="11267" max="11268" width="9.109375" style="236" customWidth="1"/>
    <col min="11269" max="11520" width="9.109375" style="236"/>
    <col min="11521" max="11522" width="20.6640625" style="236" customWidth="1"/>
    <col min="11523" max="11524" width="9.109375" style="236" customWidth="1"/>
    <col min="11525" max="11776" width="9.109375" style="236"/>
    <col min="11777" max="11778" width="20.6640625" style="236" customWidth="1"/>
    <col min="11779" max="11780" width="9.109375" style="236" customWidth="1"/>
    <col min="11781" max="12032" width="9.109375" style="236"/>
    <col min="12033" max="12034" width="20.6640625" style="236" customWidth="1"/>
    <col min="12035" max="12036" width="9.109375" style="236" customWidth="1"/>
    <col min="12037" max="12288" width="9.109375" style="236"/>
    <col min="12289" max="12290" width="20.6640625" style="236" customWidth="1"/>
    <col min="12291" max="12292" width="9.109375" style="236" customWidth="1"/>
    <col min="12293" max="12544" width="9.109375" style="236"/>
    <col min="12545" max="12546" width="20.6640625" style="236" customWidth="1"/>
    <col min="12547" max="12548" width="9.109375" style="236" customWidth="1"/>
    <col min="12549" max="12800" width="9.109375" style="236"/>
    <col min="12801" max="12802" width="20.6640625" style="236" customWidth="1"/>
    <col min="12803" max="12804" width="9.109375" style="236" customWidth="1"/>
    <col min="12805" max="13056" width="9.109375" style="236"/>
    <col min="13057" max="13058" width="20.6640625" style="236" customWidth="1"/>
    <col min="13059" max="13060" width="9.109375" style="236" customWidth="1"/>
    <col min="13061" max="13312" width="9.109375" style="236"/>
    <col min="13313" max="13314" width="20.6640625" style="236" customWidth="1"/>
    <col min="13315" max="13316" width="9.109375" style="236" customWidth="1"/>
    <col min="13317" max="13568" width="9.109375" style="236"/>
    <col min="13569" max="13570" width="20.6640625" style="236" customWidth="1"/>
    <col min="13571" max="13572" width="9.109375" style="236" customWidth="1"/>
    <col min="13573" max="13824" width="9.109375" style="236"/>
    <col min="13825" max="13826" width="20.6640625" style="236" customWidth="1"/>
    <col min="13827" max="13828" width="9.109375" style="236" customWidth="1"/>
    <col min="13829" max="14080" width="9.109375" style="236"/>
    <col min="14081" max="14082" width="20.6640625" style="236" customWidth="1"/>
    <col min="14083" max="14084" width="9.109375" style="236" customWidth="1"/>
    <col min="14085" max="14336" width="9.109375" style="236"/>
    <col min="14337" max="14338" width="20.6640625" style="236" customWidth="1"/>
    <col min="14339" max="14340" width="9.109375" style="236" customWidth="1"/>
    <col min="14341" max="14592" width="9.109375" style="236"/>
    <col min="14593" max="14594" width="20.6640625" style="236" customWidth="1"/>
    <col min="14595" max="14596" width="9.109375" style="236" customWidth="1"/>
    <col min="14597" max="14848" width="9.109375" style="236"/>
    <col min="14849" max="14850" width="20.6640625" style="236" customWidth="1"/>
    <col min="14851" max="14852" width="9.109375" style="236" customWidth="1"/>
    <col min="14853" max="15104" width="9.109375" style="236"/>
    <col min="15105" max="15106" width="20.6640625" style="236" customWidth="1"/>
    <col min="15107" max="15108" width="9.109375" style="236" customWidth="1"/>
    <col min="15109" max="15360" width="9.109375" style="236"/>
    <col min="15361" max="15362" width="20.6640625" style="236" customWidth="1"/>
    <col min="15363" max="15364" width="9.109375" style="236" customWidth="1"/>
    <col min="15365" max="15616" width="9.109375" style="236"/>
    <col min="15617" max="15618" width="20.6640625" style="236" customWidth="1"/>
    <col min="15619" max="15620" width="9.109375" style="236" customWidth="1"/>
    <col min="15621" max="15872" width="9.109375" style="236"/>
    <col min="15873" max="15874" width="20.6640625" style="236" customWidth="1"/>
    <col min="15875" max="15876" width="9.109375" style="236" customWidth="1"/>
    <col min="15877" max="16128" width="9.109375" style="236"/>
    <col min="16129" max="16130" width="20.6640625" style="236" customWidth="1"/>
    <col min="16131" max="16132" width="9.109375" style="236" customWidth="1"/>
    <col min="16133" max="16384" width="9.109375" style="236"/>
  </cols>
  <sheetData>
    <row r="1" spans="1:26">
      <c r="A1" s="166" t="s">
        <v>370</v>
      </c>
      <c r="B1" s="166" t="s">
        <v>371</v>
      </c>
    </row>
    <row r="2" spans="1:26">
      <c r="A2" s="166" t="s">
        <v>372</v>
      </c>
      <c r="B2" s="166" t="s">
        <v>373</v>
      </c>
    </row>
    <row r="3" spans="1:26">
      <c r="A3" s="166" t="s">
        <v>374</v>
      </c>
      <c r="B3" s="166" t="s">
        <v>375</v>
      </c>
    </row>
    <row r="4" spans="1:26">
      <c r="A4" s="166" t="s">
        <v>376</v>
      </c>
      <c r="B4" s="166" t="s">
        <v>377</v>
      </c>
    </row>
    <row r="5" spans="1:26">
      <c r="A5" s="166" t="s">
        <v>378</v>
      </c>
      <c r="B5" s="166" t="s">
        <v>379</v>
      </c>
    </row>
    <row r="6" spans="1:26">
      <c r="A6" s="166" t="s">
        <v>380</v>
      </c>
      <c r="B6" s="166" t="s">
        <v>381</v>
      </c>
    </row>
    <row r="7" spans="1:26">
      <c r="A7" s="166" t="s">
        <v>382</v>
      </c>
      <c r="B7" s="166" t="s">
        <v>383</v>
      </c>
    </row>
    <row r="8" spans="1:26">
      <c r="A8" s="166" t="s">
        <v>384</v>
      </c>
      <c r="B8" s="166" t="s">
        <v>385</v>
      </c>
    </row>
    <row r="9" spans="1:26">
      <c r="A9" s="166" t="s">
        <v>386</v>
      </c>
      <c r="B9" s="166" t="s">
        <v>387</v>
      </c>
    </row>
    <row r="10" spans="1:26">
      <c r="A10" s="166" t="s">
        <v>388</v>
      </c>
      <c r="B10" s="166" t="s">
        <v>389</v>
      </c>
      <c r="F10" s="174" t="s">
        <v>414</v>
      </c>
      <c r="G10" s="236" t="s">
        <v>390</v>
      </c>
      <c r="H10" s="232"/>
      <c r="I10" s="232"/>
      <c r="J10" s="232"/>
      <c r="K10" s="232"/>
    </row>
    <row r="11" spans="1:26">
      <c r="C11" s="174" t="s">
        <v>390</v>
      </c>
      <c r="D11" s="174"/>
      <c r="F11" s="236" t="s">
        <v>391</v>
      </c>
      <c r="G11" s="167" t="s">
        <v>392</v>
      </c>
      <c r="H11" s="233" t="s">
        <v>393</v>
      </c>
      <c r="I11" s="233"/>
      <c r="J11" s="233" t="s">
        <v>417</v>
      </c>
      <c r="K11" s="233"/>
      <c r="L11" s="168" t="s">
        <v>394</v>
      </c>
      <c r="M11" s="168" t="s">
        <v>395</v>
      </c>
      <c r="N11" s="168" t="s">
        <v>396</v>
      </c>
      <c r="P11" s="235" t="s">
        <v>415</v>
      </c>
      <c r="Q11" s="234"/>
    </row>
    <row r="12" spans="1:26">
      <c r="A12" s="166" t="s">
        <v>397</v>
      </c>
      <c r="B12" s="166" t="s">
        <v>398</v>
      </c>
      <c r="C12" s="169">
        <f>+AVERAGE(B590:B601)</f>
        <v>166.60833333333332</v>
      </c>
      <c r="D12" s="169"/>
      <c r="F12" s="236" t="s">
        <v>399</v>
      </c>
      <c r="G12" s="168" t="s">
        <v>400</v>
      </c>
      <c r="H12" s="232"/>
      <c r="I12" s="232"/>
      <c r="J12" s="232">
        <v>7</v>
      </c>
      <c r="K12" s="232"/>
      <c r="P12" s="235" t="s">
        <v>416</v>
      </c>
      <c r="R12" s="162" t="s">
        <v>12</v>
      </c>
      <c r="S12" s="162" t="s">
        <v>165</v>
      </c>
      <c r="T12" s="162" t="s">
        <v>1</v>
      </c>
    </row>
    <row r="13" spans="1:26">
      <c r="A13" s="166"/>
      <c r="B13" s="166"/>
      <c r="C13" s="169"/>
      <c r="D13" s="169"/>
      <c r="E13" s="167">
        <v>1959</v>
      </c>
      <c r="F13" s="278">
        <v>0.4109991177850944</v>
      </c>
      <c r="G13" s="173">
        <f>+AVERAGE(C14:C25)</f>
        <v>19.896963937378086</v>
      </c>
      <c r="H13" s="236">
        <v>120.5</v>
      </c>
      <c r="I13" s="172">
        <f>H13/$H$61</f>
        <v>2.4845360824742268E-2</v>
      </c>
      <c r="J13" s="236">
        <f>I13*100</f>
        <v>2.4845360824742269</v>
      </c>
      <c r="R13" s="162"/>
      <c r="S13" s="162"/>
      <c r="T13" s="162"/>
    </row>
    <row r="14" spans="1:26">
      <c r="A14" s="170">
        <v>21551</v>
      </c>
      <c r="B14" s="171">
        <v>33.1</v>
      </c>
      <c r="C14" s="169">
        <f t="shared" ref="C14:C77" si="0">+B14/$C$12*100</f>
        <v>19.866953433701799</v>
      </c>
      <c r="D14" s="169"/>
      <c r="E14" s="167">
        <v>1960</v>
      </c>
      <c r="F14" s="279">
        <v>0.4445500661757143</v>
      </c>
      <c r="G14" s="169">
        <f>+AVERAGE(C26:C37)</f>
        <v>20.062021707597658</v>
      </c>
      <c r="H14" s="172">
        <v>123.59</v>
      </c>
      <c r="I14" s="172">
        <f t="shared" ref="I14:I60" si="1">H14/$H$61</f>
        <v>2.5482474226804126E-2</v>
      </c>
      <c r="J14" s="236">
        <f t="shared" ref="J14:J68" si="2">I14*100</f>
        <v>2.5482474226804124</v>
      </c>
      <c r="K14" s="172">
        <f>J14/J13</f>
        <v>1.025643153526971</v>
      </c>
      <c r="L14" s="236">
        <f t="shared" ref="L14:N45" si="3">(F14/F13)</f>
        <v>1.0816326530612244</v>
      </c>
      <c r="M14" s="236">
        <f t="shared" si="3"/>
        <v>1.0082956259426845</v>
      </c>
      <c r="N14" s="236">
        <f t="shared" si="3"/>
        <v>1.025643153526971</v>
      </c>
      <c r="Q14" s="77">
        <f>+J14*(G14/F14)</f>
        <v>114.99940951518647</v>
      </c>
      <c r="R14" s="236">
        <v>0.44455006617571402</v>
      </c>
      <c r="S14" s="236">
        <v>123.59</v>
      </c>
      <c r="T14" s="236">
        <v>29.585000000000001</v>
      </c>
      <c r="Y14" s="236">
        <f>+F14/$F$48</f>
        <v>1.3553285177489754E-2</v>
      </c>
      <c r="Z14" s="236">
        <f>+G14/$G$48</f>
        <v>0.26628161720772753</v>
      </c>
    </row>
    <row r="15" spans="1:26">
      <c r="A15" s="170">
        <v>21582</v>
      </c>
      <c r="B15" s="171">
        <v>33.200000000000003</v>
      </c>
      <c r="C15" s="169">
        <f t="shared" si="0"/>
        <v>19.926974441054373</v>
      </c>
      <c r="D15" s="169"/>
      <c r="E15" s="167">
        <v>1961</v>
      </c>
      <c r="F15" s="279">
        <v>0.52423356860343673</v>
      </c>
      <c r="G15" s="169">
        <f>+AVERAGE(C38:C49)</f>
        <v>20.057019956984945</v>
      </c>
      <c r="H15" s="172">
        <v>123.6</v>
      </c>
      <c r="I15" s="172">
        <f t="shared" si="1"/>
        <v>2.5484536082474224E-2</v>
      </c>
      <c r="J15" s="236">
        <f t="shared" si="2"/>
        <v>2.5484536082474225</v>
      </c>
      <c r="K15" s="172">
        <f>J15/J14</f>
        <v>1.0000809126952017</v>
      </c>
      <c r="L15" s="236">
        <f t="shared" si="3"/>
        <v>1.179245283018868</v>
      </c>
      <c r="M15" s="236">
        <f t="shared" si="3"/>
        <v>0.99975068561456004</v>
      </c>
      <c r="N15" s="236">
        <f t="shared" si="3"/>
        <v>1.0000809126952017</v>
      </c>
      <c r="P15" s="236">
        <f>+N15*(M15/L15)*100</f>
        <v>84.785717826022932</v>
      </c>
      <c r="Q15" s="77">
        <f>+J15*(G15/F15)</f>
        <v>97.503074853138571</v>
      </c>
      <c r="R15" s="236">
        <v>0.52423356860343673</v>
      </c>
      <c r="S15" s="236">
        <v>123.61</v>
      </c>
      <c r="T15" s="236">
        <v>29.902000000000001</v>
      </c>
      <c r="U15" s="236">
        <f>R15-R14</f>
        <v>7.9683502427722708E-2</v>
      </c>
      <c r="V15" s="236">
        <f>S15-S14</f>
        <v>1.9999999999996021E-2</v>
      </c>
      <c r="W15" s="236">
        <f>T15-T14</f>
        <v>0.31700000000000017</v>
      </c>
      <c r="Y15" s="236">
        <f t="shared" ref="Y15:Y26" si="4">+F15/$F$48</f>
        <v>1.5982647614964332E-2</v>
      </c>
      <c r="Z15" s="236">
        <f t="shared" ref="Z15:Z26" si="5">+G15/$G$48</f>
        <v>0.26621522936997943</v>
      </c>
    </row>
    <row r="16" spans="1:26">
      <c r="A16" s="170">
        <v>21610</v>
      </c>
      <c r="B16" s="171">
        <v>33.200000000000003</v>
      </c>
      <c r="C16" s="169">
        <f t="shared" si="0"/>
        <v>19.926974441054373</v>
      </c>
      <c r="D16" s="169"/>
      <c r="E16" s="167">
        <v>1962</v>
      </c>
      <c r="F16" s="279">
        <v>0.53471823997550538</v>
      </c>
      <c r="G16" s="169">
        <f>+AVERAGE(C50:C61)</f>
        <v>20.122042714950233</v>
      </c>
      <c r="H16" s="172">
        <v>123.6</v>
      </c>
      <c r="I16" s="172">
        <f t="shared" si="1"/>
        <v>2.5484536082474224E-2</v>
      </c>
      <c r="J16" s="236">
        <f t="shared" si="2"/>
        <v>2.5484536082474225</v>
      </c>
      <c r="K16" s="172">
        <f>J16/J15</f>
        <v>1</v>
      </c>
      <c r="L16" s="236">
        <f t="shared" si="3"/>
        <v>1.0199999999999998</v>
      </c>
      <c r="M16" s="236">
        <f t="shared" si="3"/>
        <v>1.0032418952618454</v>
      </c>
      <c r="N16" s="236">
        <f t="shared" si="3"/>
        <v>1</v>
      </c>
      <c r="P16" s="236">
        <f>+N16*(M16/L16)*100</f>
        <v>98.357048555082898</v>
      </c>
      <c r="Q16" s="77">
        <f t="shared" ref="Q16:Q68" si="6">+J16*(G16/F16)</f>
        <v>95.901146676000323</v>
      </c>
      <c r="R16" s="236">
        <v>0.53471823997550538</v>
      </c>
      <c r="S16" s="236">
        <v>123.6</v>
      </c>
      <c r="T16" s="236">
        <v>30.253</v>
      </c>
      <c r="U16" s="236">
        <f t="shared" ref="U16:W68" si="7">R16-R15</f>
        <v>1.0484671372068655E-2</v>
      </c>
      <c r="V16" s="236">
        <f t="shared" si="7"/>
        <v>-1.0000000000005116E-2</v>
      </c>
      <c r="W16" s="236">
        <f t="shared" si="7"/>
        <v>0.35099999999999909</v>
      </c>
      <c r="Y16" s="236">
        <f t="shared" si="4"/>
        <v>1.6302300567263617E-2</v>
      </c>
      <c r="Z16" s="236">
        <f t="shared" si="5"/>
        <v>0.26707827126070505</v>
      </c>
    </row>
    <row r="17" spans="1:26">
      <c r="A17" s="170">
        <v>21641</v>
      </c>
      <c r="B17" s="171">
        <v>33.200000000000003</v>
      </c>
      <c r="C17" s="169">
        <f t="shared" si="0"/>
        <v>19.926974441054373</v>
      </c>
      <c r="D17" s="169"/>
      <c r="E17" s="167">
        <v>1963</v>
      </c>
      <c r="F17" s="279">
        <v>0.54310597707316044</v>
      </c>
      <c r="G17" s="169">
        <f>+AVERAGE(C62:C73)</f>
        <v>20.052018206372232</v>
      </c>
      <c r="H17" s="172">
        <v>123.6</v>
      </c>
      <c r="I17" s="172">
        <f t="shared" si="1"/>
        <v>2.5484536082474224E-2</v>
      </c>
      <c r="J17" s="236">
        <f t="shared" si="2"/>
        <v>2.5484536082474225</v>
      </c>
      <c r="K17" s="172">
        <f>J17/J16</f>
        <v>1</v>
      </c>
      <c r="L17" s="236">
        <f t="shared" si="3"/>
        <v>1.0156862745098041</v>
      </c>
      <c r="M17" s="236">
        <f t="shared" si="3"/>
        <v>0.99652000994282874</v>
      </c>
      <c r="N17" s="236">
        <f t="shared" si="3"/>
        <v>1</v>
      </c>
      <c r="P17" s="236">
        <f>+N17*(M17/L17)*100</f>
        <v>98.112973951900102</v>
      </c>
      <c r="Q17" s="77">
        <f t="shared" si="6"/>
        <v>94.091467057797729</v>
      </c>
      <c r="R17" s="236">
        <v>0.54310597707316</v>
      </c>
      <c r="S17" s="236">
        <v>123.6</v>
      </c>
      <c r="T17" s="236">
        <v>30.632999999999999</v>
      </c>
      <c r="U17" s="236">
        <f>R17-R16</f>
        <v>8.3877370976546128E-3</v>
      </c>
      <c r="V17" s="236">
        <f t="shared" si="7"/>
        <v>0</v>
      </c>
      <c r="W17" s="236">
        <f t="shared" si="7"/>
        <v>0.37999999999999901</v>
      </c>
      <c r="Y17" s="236">
        <f t="shared" si="4"/>
        <v>1.655802292910305E-2</v>
      </c>
      <c r="Z17" s="236">
        <f t="shared" si="5"/>
        <v>0.26614884153223128</v>
      </c>
    </row>
    <row r="18" spans="1:26">
      <c r="A18" s="170">
        <v>21671</v>
      </c>
      <c r="B18" s="171">
        <v>33.299999999999997</v>
      </c>
      <c r="C18" s="169">
        <f t="shared" si="0"/>
        <v>19.98699544840694</v>
      </c>
      <c r="D18" s="169"/>
      <c r="E18" s="167">
        <v>1964</v>
      </c>
      <c r="F18" s="279">
        <v>0.57050145244897066</v>
      </c>
      <c r="G18" s="169">
        <f>+AVERAGE(C74:C85)</f>
        <v>20.12704446556295</v>
      </c>
      <c r="H18" s="172">
        <v>123.6</v>
      </c>
      <c r="I18" s="172">
        <f t="shared" si="1"/>
        <v>2.5484536082474224E-2</v>
      </c>
      <c r="J18" s="236">
        <f t="shared" si="2"/>
        <v>2.5484536082474225</v>
      </c>
      <c r="K18" s="172">
        <f t="shared" ref="K18:K68" si="8">J18/J17</f>
        <v>1</v>
      </c>
      <c r="L18" s="236">
        <f t="shared" si="3"/>
        <v>1.0504422277277199</v>
      </c>
      <c r="M18" s="236">
        <f t="shared" si="3"/>
        <v>1.0037415814417561</v>
      </c>
      <c r="N18" s="236">
        <f t="shared" si="3"/>
        <v>1</v>
      </c>
      <c r="P18" s="236">
        <f t="shared" ref="P18:P67" si="9">+N18*(M18/L18)*100</f>
        <v>95.554191839089995</v>
      </c>
      <c r="Q18" s="77">
        <f t="shared" si="6"/>
        <v>89.90834093662221</v>
      </c>
      <c r="R18" s="236">
        <v>0.55917532067241027</v>
      </c>
      <c r="S18" s="236">
        <v>123.6</v>
      </c>
      <c r="T18" s="236">
        <v>31.038</v>
      </c>
      <c r="U18" s="236">
        <f t="shared" si="7"/>
        <v>1.6069343599250274E-2</v>
      </c>
      <c r="V18" s="236">
        <f t="shared" si="7"/>
        <v>0</v>
      </c>
      <c r="W18" s="236">
        <f t="shared" si="7"/>
        <v>0.40500000000000114</v>
      </c>
      <c r="Y18" s="236">
        <f t="shared" si="4"/>
        <v>1.7393246492413673E-2</v>
      </c>
      <c r="Z18" s="236">
        <f t="shared" si="5"/>
        <v>0.2671446590984532</v>
      </c>
    </row>
    <row r="19" spans="1:26">
      <c r="A19" s="170">
        <v>21702</v>
      </c>
      <c r="B19" s="171">
        <v>33.200000000000003</v>
      </c>
      <c r="C19" s="169">
        <f t="shared" si="0"/>
        <v>19.926974441054373</v>
      </c>
      <c r="D19" s="169"/>
      <c r="E19" s="167">
        <v>1965</v>
      </c>
      <c r="F19" s="279">
        <v>0.59287405842736163</v>
      </c>
      <c r="G19" s="169">
        <f>+AVERAGE(C86:C97)</f>
        <v>20.482168759065676</v>
      </c>
      <c r="H19" s="172">
        <v>123.6</v>
      </c>
      <c r="I19" s="172">
        <f t="shared" si="1"/>
        <v>2.5484536082474224E-2</v>
      </c>
      <c r="J19" s="236">
        <f t="shared" si="2"/>
        <v>2.5484536082474225</v>
      </c>
      <c r="K19" s="172">
        <f t="shared" si="8"/>
        <v>1</v>
      </c>
      <c r="L19" s="236">
        <f t="shared" si="3"/>
        <v>1.0392156862745097</v>
      </c>
      <c r="M19" s="236">
        <f t="shared" si="3"/>
        <v>1.0176441351888668</v>
      </c>
      <c r="N19" s="236">
        <f t="shared" si="3"/>
        <v>1</v>
      </c>
      <c r="P19" s="236">
        <f t="shared" si="9"/>
        <v>97.924246971004166</v>
      </c>
      <c r="Q19" s="77">
        <f t="shared" si="6"/>
        <v>88.042065826310363</v>
      </c>
      <c r="R19" s="236">
        <v>0.58066234433082331</v>
      </c>
      <c r="S19" s="236">
        <v>123.6</v>
      </c>
      <c r="T19" s="236">
        <v>31.527999999999999</v>
      </c>
      <c r="U19" s="236">
        <f t="shared" si="7"/>
        <v>2.148702365841304E-2</v>
      </c>
      <c r="V19" s="236">
        <f t="shared" si="7"/>
        <v>0</v>
      </c>
      <c r="W19" s="236">
        <f t="shared" si="7"/>
        <v>0.48999999999999844</v>
      </c>
      <c r="Y19" s="236">
        <f t="shared" si="4"/>
        <v>1.8075334590155385E-2</v>
      </c>
      <c r="Z19" s="236">
        <f t="shared" si="5"/>
        <v>0.27185819557857005</v>
      </c>
    </row>
    <row r="20" spans="1:26">
      <c r="A20" s="170">
        <v>21732</v>
      </c>
      <c r="B20" s="171">
        <v>33.1</v>
      </c>
      <c r="C20" s="169">
        <f t="shared" si="0"/>
        <v>19.866953433701799</v>
      </c>
      <c r="D20" s="169"/>
      <c r="E20" s="167">
        <v>1966</v>
      </c>
      <c r="F20" s="279">
        <v>0.60070447051979858</v>
      </c>
      <c r="G20" s="169">
        <f>+AVERAGE(C98:C109)</f>
        <v>21.122392837493127</v>
      </c>
      <c r="H20" s="172">
        <v>123.6</v>
      </c>
      <c r="I20" s="172">
        <f t="shared" si="1"/>
        <v>2.5484536082474224E-2</v>
      </c>
      <c r="J20" s="236">
        <f t="shared" si="2"/>
        <v>2.5484536082474225</v>
      </c>
      <c r="K20" s="172">
        <f t="shared" si="8"/>
        <v>1</v>
      </c>
      <c r="L20" s="236">
        <f t="shared" si="3"/>
        <v>1.0132075471698114</v>
      </c>
      <c r="M20" s="236">
        <f t="shared" si="3"/>
        <v>1.0312576312576314</v>
      </c>
      <c r="N20" s="236">
        <f t="shared" si="3"/>
        <v>1</v>
      </c>
      <c r="P20" s="236">
        <f t="shared" si="9"/>
        <v>101.78147943511071</v>
      </c>
      <c r="Q20" s="77">
        <f t="shared" si="6"/>
        <v>89.61051712325272</v>
      </c>
      <c r="R20" s="236">
        <v>0.59744179881461645</v>
      </c>
      <c r="S20" s="236">
        <v>123.87</v>
      </c>
      <c r="T20" s="236">
        <v>32.470999999999997</v>
      </c>
      <c r="U20" s="236">
        <f t="shared" si="7"/>
        <v>1.6779454483793144E-2</v>
      </c>
      <c r="V20" s="236">
        <f t="shared" si="7"/>
        <v>0.27000000000001023</v>
      </c>
      <c r="W20" s="236">
        <f t="shared" si="7"/>
        <v>0.94299999999999784</v>
      </c>
      <c r="Y20" s="236">
        <f t="shared" si="4"/>
        <v>1.8314065424364988E-2</v>
      </c>
      <c r="Z20" s="236">
        <f t="shared" si="5"/>
        <v>0.28035583881032999</v>
      </c>
    </row>
    <row r="21" spans="1:26">
      <c r="A21" s="170">
        <v>21763</v>
      </c>
      <c r="B21" s="171">
        <v>33</v>
      </c>
      <c r="C21" s="169">
        <f t="shared" si="0"/>
        <v>19.806932426349224</v>
      </c>
      <c r="D21" s="169"/>
      <c r="E21" s="167">
        <v>1967</v>
      </c>
      <c r="F21" s="279">
        <v>0.60406036141655717</v>
      </c>
      <c r="G21" s="169">
        <f>+AVERAGE(C110:C121)</f>
        <v>21.382483869354274</v>
      </c>
      <c r="H21" s="172">
        <v>123.6</v>
      </c>
      <c r="I21" s="172">
        <f t="shared" si="1"/>
        <v>2.5484536082474224E-2</v>
      </c>
      <c r="J21" s="236">
        <f t="shared" si="2"/>
        <v>2.5484536082474225</v>
      </c>
      <c r="K21" s="172">
        <f t="shared" si="8"/>
        <v>1</v>
      </c>
      <c r="L21" s="236">
        <f t="shared" si="3"/>
        <v>1.0055865921787708</v>
      </c>
      <c r="M21" s="236">
        <f t="shared" si="3"/>
        <v>1.0123135211934642</v>
      </c>
      <c r="N21" s="236">
        <f t="shared" si="3"/>
        <v>1</v>
      </c>
      <c r="P21" s="236">
        <f t="shared" si="9"/>
        <v>100.66895571868339</v>
      </c>
      <c r="Q21" s="77">
        <f t="shared" si="6"/>
        <v>90.209971802090493</v>
      </c>
      <c r="R21" s="236">
        <v>0.6055984780775715</v>
      </c>
      <c r="S21" s="236">
        <v>123.87</v>
      </c>
      <c r="T21" s="236">
        <v>33.375</v>
      </c>
      <c r="U21" s="236">
        <f t="shared" si="7"/>
        <v>8.1566792629550466E-3</v>
      </c>
      <c r="V21" s="236">
        <f t="shared" si="7"/>
        <v>0</v>
      </c>
      <c r="W21" s="236">
        <f t="shared" si="7"/>
        <v>0.90400000000000347</v>
      </c>
      <c r="Y21" s="236">
        <f t="shared" si="4"/>
        <v>1.8416378639026242E-2</v>
      </c>
      <c r="Z21" s="236">
        <f t="shared" si="5"/>
        <v>0.28380800637323245</v>
      </c>
    </row>
    <row r="22" spans="1:26">
      <c r="A22" s="170">
        <v>21794</v>
      </c>
      <c r="B22" s="171">
        <v>33.4</v>
      </c>
      <c r="C22" s="169">
        <f t="shared" si="0"/>
        <v>20.047016455759518</v>
      </c>
      <c r="D22" s="169"/>
      <c r="E22" s="167">
        <v>1968</v>
      </c>
      <c r="F22" s="279">
        <v>0.6202805007508907</v>
      </c>
      <c r="G22" s="169">
        <f>+AVERAGE(C122:C133)</f>
        <v>22.002700945330872</v>
      </c>
      <c r="H22" s="172">
        <v>123.6</v>
      </c>
      <c r="I22" s="172">
        <f t="shared" si="1"/>
        <v>2.5484536082474224E-2</v>
      </c>
      <c r="J22" s="236">
        <f t="shared" si="2"/>
        <v>2.5484536082474225</v>
      </c>
      <c r="K22" s="172">
        <f t="shared" si="8"/>
        <v>1</v>
      </c>
      <c r="L22" s="236">
        <f t="shared" si="3"/>
        <v>1.0268518518518519</v>
      </c>
      <c r="M22" s="236">
        <f t="shared" si="3"/>
        <v>1.0290058479532167</v>
      </c>
      <c r="N22" s="236">
        <f t="shared" si="3"/>
        <v>1</v>
      </c>
      <c r="P22" s="236">
        <f t="shared" si="9"/>
        <v>100.20976697831145</v>
      </c>
      <c r="Q22" s="77">
        <f t="shared" si="6"/>
        <v>90.399202534075329</v>
      </c>
      <c r="R22" s="236">
        <v>0.60988656089009652</v>
      </c>
      <c r="S22" s="236">
        <v>123.6</v>
      </c>
      <c r="T22" s="236">
        <v>34.792000000000002</v>
      </c>
      <c r="U22" s="236">
        <f t="shared" si="7"/>
        <v>4.2880828125250181E-3</v>
      </c>
      <c r="V22" s="236">
        <f t="shared" si="7"/>
        <v>-0.27000000000001023</v>
      </c>
      <c r="W22" s="236">
        <f t="shared" si="7"/>
        <v>1.4170000000000016</v>
      </c>
      <c r="Y22" s="236">
        <f t="shared" si="4"/>
        <v>1.8910892509888987E-2</v>
      </c>
      <c r="Z22" s="236">
        <f t="shared" si="5"/>
        <v>0.29204009825399996</v>
      </c>
    </row>
    <row r="23" spans="1:26">
      <c r="A23" s="170">
        <v>21824</v>
      </c>
      <c r="B23" s="171">
        <v>33.1</v>
      </c>
      <c r="C23" s="169">
        <f t="shared" si="0"/>
        <v>19.866953433701799</v>
      </c>
      <c r="D23" s="169"/>
      <c r="E23" s="167">
        <v>1969</v>
      </c>
      <c r="F23" s="279">
        <v>0.61860255530251129</v>
      </c>
      <c r="G23" s="169">
        <f>+AVERAGE(C134:C145)</f>
        <v>22.807982793977896</v>
      </c>
      <c r="H23" s="172">
        <v>123.6</v>
      </c>
      <c r="I23" s="172">
        <f t="shared" si="1"/>
        <v>2.5484536082474224E-2</v>
      </c>
      <c r="J23" s="236">
        <f t="shared" si="2"/>
        <v>2.5484536082474225</v>
      </c>
      <c r="K23" s="172">
        <f t="shared" si="8"/>
        <v>1</v>
      </c>
      <c r="L23" s="236">
        <f t="shared" si="3"/>
        <v>0.99729486023444536</v>
      </c>
      <c r="M23" s="236">
        <f t="shared" si="3"/>
        <v>1.0365992270970674</v>
      </c>
      <c r="N23" s="236">
        <f t="shared" si="3"/>
        <v>1</v>
      </c>
      <c r="P23" s="236">
        <f t="shared" si="9"/>
        <v>103.94109790693018</v>
      </c>
      <c r="Q23" s="77">
        <f t="shared" si="6"/>
        <v>93.961923613027352</v>
      </c>
      <c r="R23" s="236">
        <v>0.62358978205186111</v>
      </c>
      <c r="S23" s="236">
        <v>123.6</v>
      </c>
      <c r="T23" s="236">
        <v>36.683</v>
      </c>
      <c r="U23" s="236">
        <f t="shared" si="7"/>
        <v>1.3703221161764589E-2</v>
      </c>
      <c r="V23" s="236">
        <f t="shared" si="7"/>
        <v>0</v>
      </c>
      <c r="W23" s="236">
        <f t="shared" si="7"/>
        <v>1.8909999999999982</v>
      </c>
      <c r="Y23" s="236">
        <f t="shared" si="4"/>
        <v>1.8859735902558357E-2</v>
      </c>
      <c r="Z23" s="236">
        <f t="shared" si="5"/>
        <v>0.30272854013144795</v>
      </c>
    </row>
    <row r="24" spans="1:26">
      <c r="A24" s="170">
        <v>21855</v>
      </c>
      <c r="B24" s="171">
        <v>33</v>
      </c>
      <c r="C24" s="169">
        <f t="shared" si="0"/>
        <v>19.806932426349224</v>
      </c>
      <c r="D24" s="169"/>
      <c r="E24" s="167">
        <v>1970</v>
      </c>
      <c r="F24" s="279">
        <v>0.63258543403900569</v>
      </c>
      <c r="G24" s="169">
        <f>+AVERAGE(C146:C157)</f>
        <v>23.598259390786779</v>
      </c>
      <c r="H24" s="172">
        <v>123.6</v>
      </c>
      <c r="I24" s="172">
        <f t="shared" si="1"/>
        <v>2.5484536082474224E-2</v>
      </c>
      <c r="J24" s="236">
        <f t="shared" si="2"/>
        <v>2.5484536082474225</v>
      </c>
      <c r="K24" s="172">
        <f t="shared" si="8"/>
        <v>1</v>
      </c>
      <c r="L24" s="236">
        <f t="shared" si="3"/>
        <v>1.0226039783001808</v>
      </c>
      <c r="M24" s="236">
        <f t="shared" si="3"/>
        <v>1.0346491228070176</v>
      </c>
      <c r="N24" s="236">
        <f t="shared" si="3"/>
        <v>1</v>
      </c>
      <c r="P24" s="236">
        <f t="shared" si="9"/>
        <v>101.17788946282596</v>
      </c>
      <c r="Q24" s="77">
        <f t="shared" si="6"/>
        <v>95.068691210333753</v>
      </c>
      <c r="R24" s="236">
        <v>0.61822967853620481</v>
      </c>
      <c r="S24" s="236">
        <v>123.6</v>
      </c>
      <c r="T24" s="236">
        <v>38.841999999999999</v>
      </c>
      <c r="U24" s="236">
        <f t="shared" si="7"/>
        <v>-5.3601035156563004E-3</v>
      </c>
      <c r="V24" s="236">
        <f t="shared" si="7"/>
        <v>0</v>
      </c>
      <c r="W24" s="236">
        <f t="shared" si="7"/>
        <v>2.1589999999999989</v>
      </c>
      <c r="Y24" s="236">
        <f t="shared" si="4"/>
        <v>1.9286040963646927E-2</v>
      </c>
      <c r="Z24" s="236">
        <f t="shared" si="5"/>
        <v>0.31321781849565167</v>
      </c>
    </row>
    <row r="25" spans="1:26">
      <c r="A25" s="170">
        <v>21885</v>
      </c>
      <c r="B25" s="171">
        <v>33</v>
      </c>
      <c r="C25" s="169">
        <f t="shared" si="0"/>
        <v>19.806932426349224</v>
      </c>
      <c r="D25" s="169"/>
      <c r="E25" s="167">
        <v>1971</v>
      </c>
      <c r="F25" s="279">
        <v>0.67229680965064975</v>
      </c>
      <c r="G25" s="169">
        <f>+AVERAGE(C158:C169)</f>
        <v>24.308507977792232</v>
      </c>
      <c r="H25" s="172">
        <v>123.6</v>
      </c>
      <c r="I25" s="172">
        <f t="shared" si="1"/>
        <v>2.5484536082474224E-2</v>
      </c>
      <c r="J25" s="236">
        <f t="shared" si="2"/>
        <v>2.5484536082474225</v>
      </c>
      <c r="K25" s="172">
        <f t="shared" si="8"/>
        <v>1</v>
      </c>
      <c r="L25" s="236">
        <f t="shared" si="3"/>
        <v>1.0627763041556146</v>
      </c>
      <c r="M25" s="236">
        <f t="shared" si="3"/>
        <v>1.030097498940229</v>
      </c>
      <c r="N25" s="236">
        <f t="shared" si="3"/>
        <v>1</v>
      </c>
      <c r="P25" s="236">
        <f t="shared" si="9"/>
        <v>96.925147362845152</v>
      </c>
      <c r="Q25" s="77">
        <f t="shared" si="6"/>
        <v>92.145469051544225</v>
      </c>
      <c r="R25" s="236">
        <v>0.64885218296912761</v>
      </c>
      <c r="S25" s="236">
        <v>123.6</v>
      </c>
      <c r="T25" s="236">
        <v>40.482999999999997</v>
      </c>
      <c r="U25" s="236">
        <f t="shared" si="7"/>
        <v>3.0622504432922804E-2</v>
      </c>
      <c r="V25" s="236">
        <f t="shared" si="7"/>
        <v>0</v>
      </c>
      <c r="W25" s="236">
        <f t="shared" si="7"/>
        <v>1.6409999999999982</v>
      </c>
      <c r="Y25" s="236">
        <f t="shared" si="4"/>
        <v>2.0496747337138469E-2</v>
      </c>
      <c r="Z25" s="236">
        <f t="shared" si="5"/>
        <v>0.32264489145588532</v>
      </c>
    </row>
    <row r="26" spans="1:26">
      <c r="A26" s="170">
        <v>21916</v>
      </c>
      <c r="B26" s="171">
        <v>33.1</v>
      </c>
      <c r="C26" s="169">
        <f t="shared" si="0"/>
        <v>19.866953433701799</v>
      </c>
      <c r="D26" s="169"/>
      <c r="E26" s="167">
        <v>1972</v>
      </c>
      <c r="F26" s="279">
        <v>0.73605873668906407</v>
      </c>
      <c r="G26" s="169">
        <f>+AVERAGE(C170:C181)</f>
        <v>25.063772320312115</v>
      </c>
      <c r="H26" s="172">
        <v>123.6</v>
      </c>
      <c r="I26" s="172">
        <f t="shared" si="1"/>
        <v>2.5484536082474224E-2</v>
      </c>
      <c r="J26" s="236">
        <f t="shared" si="2"/>
        <v>2.5484536082474225</v>
      </c>
      <c r="K26" s="172">
        <f t="shared" si="8"/>
        <v>1</v>
      </c>
      <c r="L26" s="236">
        <f t="shared" si="3"/>
        <v>1.0948419301164725</v>
      </c>
      <c r="M26" s="236">
        <f t="shared" si="3"/>
        <v>1.0310699588477366</v>
      </c>
      <c r="N26" s="236">
        <f t="shared" si="3"/>
        <v>1</v>
      </c>
      <c r="P26" s="236">
        <f t="shared" si="9"/>
        <v>94.175234843083544</v>
      </c>
      <c r="Q26" s="77">
        <f t="shared" si="6"/>
        <v>86.778211876552646</v>
      </c>
      <c r="R26" s="236">
        <v>0.70841924638659359</v>
      </c>
      <c r="S26" s="236">
        <v>123.6</v>
      </c>
      <c r="T26" s="236">
        <v>41.808</v>
      </c>
      <c r="U26" s="236">
        <f t="shared" si="7"/>
        <v>5.9567063417465982E-2</v>
      </c>
      <c r="V26" s="236">
        <f t="shared" si="7"/>
        <v>0</v>
      </c>
      <c r="W26" s="236">
        <f t="shared" si="7"/>
        <v>1.3250000000000028</v>
      </c>
      <c r="Y26" s="236">
        <f t="shared" si="4"/>
        <v>2.2440698415702346E-2</v>
      </c>
      <c r="Z26" s="236">
        <f t="shared" si="5"/>
        <v>0.33266945495585215</v>
      </c>
    </row>
    <row r="27" spans="1:26">
      <c r="A27" s="170">
        <v>21947</v>
      </c>
      <c r="B27" s="171">
        <v>33.1</v>
      </c>
      <c r="C27" s="169">
        <f t="shared" si="0"/>
        <v>19.866953433701799</v>
      </c>
      <c r="D27" s="169"/>
      <c r="E27" s="167">
        <v>1973</v>
      </c>
      <c r="F27" s="279">
        <v>0.84009135448858219</v>
      </c>
      <c r="G27" s="169">
        <f>+AVERAGE(C182:C193)</f>
        <v>27.359575851548055</v>
      </c>
      <c r="H27" s="172">
        <v>123.6</v>
      </c>
      <c r="I27" s="172">
        <f t="shared" si="1"/>
        <v>2.5484536082474224E-2</v>
      </c>
      <c r="J27" s="236">
        <f t="shared" si="2"/>
        <v>2.5484536082474225</v>
      </c>
      <c r="K27" s="172">
        <f t="shared" si="8"/>
        <v>1</v>
      </c>
      <c r="L27" s="236">
        <f t="shared" si="3"/>
        <v>1.141337386018237</v>
      </c>
      <c r="M27" s="236">
        <f t="shared" si="3"/>
        <v>1.0915984833366597</v>
      </c>
      <c r="N27" s="236">
        <f t="shared" si="3"/>
        <v>1</v>
      </c>
      <c r="P27" s="236">
        <f t="shared" si="9"/>
        <v>95.642050870242628</v>
      </c>
      <c r="Q27" s="77">
        <f t="shared" si="6"/>
        <v>82.996461547259415</v>
      </c>
      <c r="R27" s="236">
        <v>0.79935456776959513</v>
      </c>
      <c r="S27" s="236">
        <v>123.6</v>
      </c>
      <c r="T27" s="236">
        <v>44.424999999999997</v>
      </c>
      <c r="U27" s="236">
        <f t="shared" si="7"/>
        <v>9.0935321383001533E-2</v>
      </c>
      <c r="V27" s="236">
        <f t="shared" si="7"/>
        <v>0</v>
      </c>
      <c r="W27" s="236">
        <f t="shared" si="7"/>
        <v>2.6169999999999973</v>
      </c>
    </row>
    <row r="28" spans="1:26">
      <c r="A28" s="170">
        <v>21976</v>
      </c>
      <c r="B28" s="171">
        <v>33.4</v>
      </c>
      <c r="C28" s="169">
        <f t="shared" si="0"/>
        <v>20.047016455759518</v>
      </c>
      <c r="D28" s="169"/>
      <c r="E28" s="167">
        <v>1974</v>
      </c>
      <c r="F28" s="279">
        <v>1.0246653538103081</v>
      </c>
      <c r="G28" s="169">
        <f>+AVERAGE(C194:C205)</f>
        <v>31.551042865002756</v>
      </c>
      <c r="H28" s="172">
        <v>123.6</v>
      </c>
      <c r="I28" s="172">
        <f t="shared" si="1"/>
        <v>2.5484536082474224E-2</v>
      </c>
      <c r="J28" s="236">
        <f t="shared" si="2"/>
        <v>2.5484536082474225</v>
      </c>
      <c r="K28" s="172">
        <f t="shared" si="8"/>
        <v>1</v>
      </c>
      <c r="L28" s="236">
        <f t="shared" si="3"/>
        <v>1.2197070572569908</v>
      </c>
      <c r="M28" s="236">
        <f t="shared" si="3"/>
        <v>1.1531992687385737</v>
      </c>
      <c r="N28" s="236">
        <f t="shared" si="3"/>
        <v>1</v>
      </c>
      <c r="P28" s="236">
        <f t="shared" si="9"/>
        <v>94.547232622562092</v>
      </c>
      <c r="Q28" s="77">
        <f t="shared" si="6"/>
        <v>78.470857567582655</v>
      </c>
      <c r="R28" s="236">
        <v>1.0007080215751145</v>
      </c>
      <c r="S28" s="236">
        <v>123.6</v>
      </c>
      <c r="T28" s="236">
        <v>49.317</v>
      </c>
      <c r="U28" s="236">
        <f t="shared" si="7"/>
        <v>0.20135345380551939</v>
      </c>
      <c r="V28" s="236">
        <f t="shared" si="7"/>
        <v>0</v>
      </c>
      <c r="W28" s="236">
        <f t="shared" si="7"/>
        <v>4.892000000000003</v>
      </c>
    </row>
    <row r="29" spans="1:26">
      <c r="A29" s="170">
        <v>22007</v>
      </c>
      <c r="B29" s="171">
        <v>33.4</v>
      </c>
      <c r="C29" s="169">
        <f t="shared" si="0"/>
        <v>20.047016455759518</v>
      </c>
      <c r="D29" s="169"/>
      <c r="E29" s="167">
        <v>1975</v>
      </c>
      <c r="F29" s="279">
        <v>1.1135964625744124</v>
      </c>
      <c r="G29" s="169">
        <f>+AVERAGE(C205:C216)</f>
        <v>34.767168508978152</v>
      </c>
      <c r="H29" s="172">
        <v>123.6</v>
      </c>
      <c r="I29" s="172">
        <f t="shared" si="1"/>
        <v>2.5484536082474224E-2</v>
      </c>
      <c r="J29" s="236">
        <f t="shared" si="2"/>
        <v>2.5484536082474225</v>
      </c>
      <c r="K29" s="172">
        <f t="shared" si="8"/>
        <v>1</v>
      </c>
      <c r="L29" s="236">
        <f t="shared" si="3"/>
        <v>1.0867903930131004</v>
      </c>
      <c r="M29" s="236">
        <f t="shared" si="3"/>
        <v>1.1019340519974636</v>
      </c>
      <c r="N29" s="236">
        <f t="shared" si="3"/>
        <v>1</v>
      </c>
      <c r="P29" s="236">
        <f t="shared" si="9"/>
        <v>101.39342959615034</v>
      </c>
      <c r="Q29" s="77">
        <f t="shared" si="6"/>
        <v>79.564293721282326</v>
      </c>
      <c r="R29" s="236">
        <v>1.0676860107229222</v>
      </c>
      <c r="S29" s="236">
        <v>123.6</v>
      </c>
      <c r="T29" s="236">
        <v>53.825000000000003</v>
      </c>
      <c r="U29" s="236">
        <f t="shared" si="7"/>
        <v>6.6977989147807726E-2</v>
      </c>
      <c r="V29" s="236">
        <f t="shared" si="7"/>
        <v>0</v>
      </c>
      <c r="W29" s="236">
        <f t="shared" si="7"/>
        <v>4.5080000000000027</v>
      </c>
    </row>
    <row r="30" spans="1:26">
      <c r="A30" s="170">
        <v>22037</v>
      </c>
      <c r="B30" s="171">
        <v>33.4</v>
      </c>
      <c r="C30" s="169">
        <f t="shared" si="0"/>
        <v>20.047016455759518</v>
      </c>
      <c r="D30" s="169"/>
      <c r="E30" s="167">
        <v>1976</v>
      </c>
      <c r="F30" s="279">
        <v>1.1510705775882173</v>
      </c>
      <c r="G30" s="169">
        <f>+AVERAGE(C218:C229)</f>
        <v>36.487770719751914</v>
      </c>
      <c r="H30" s="172">
        <v>126</v>
      </c>
      <c r="I30" s="172">
        <f t="shared" si="1"/>
        <v>2.597938144329897E-2</v>
      </c>
      <c r="J30" s="236">
        <f t="shared" si="2"/>
        <v>2.597938144329897</v>
      </c>
      <c r="K30" s="172">
        <f t="shared" si="8"/>
        <v>1.0194174757281556</v>
      </c>
      <c r="L30" s="236">
        <f t="shared" si="3"/>
        <v>1.0336514314414866</v>
      </c>
      <c r="M30" s="236">
        <f t="shared" si="3"/>
        <v>1.0494892821176807</v>
      </c>
      <c r="N30" s="236">
        <f t="shared" si="3"/>
        <v>1.0194174757281553</v>
      </c>
      <c r="P30" s="236">
        <f t="shared" si="9"/>
        <v>103.5037230382555</v>
      </c>
      <c r="Q30" s="77">
        <f t="shared" si="6"/>
        <v>82.352006210620189</v>
      </c>
      <c r="R30" s="236">
        <v>1.1154608464059448</v>
      </c>
      <c r="S30" s="236">
        <v>126.6</v>
      </c>
      <c r="T30" s="236">
        <v>56.933</v>
      </c>
      <c r="U30" s="236">
        <f t="shared" si="7"/>
        <v>4.7774835683022543E-2</v>
      </c>
      <c r="V30" s="236">
        <f t="shared" si="7"/>
        <v>3</v>
      </c>
      <c r="W30" s="236">
        <f t="shared" si="7"/>
        <v>3.107999999999997</v>
      </c>
    </row>
    <row r="31" spans="1:26">
      <c r="A31" s="170">
        <v>22068</v>
      </c>
      <c r="B31" s="171">
        <v>33.4</v>
      </c>
      <c r="C31" s="169">
        <f t="shared" si="0"/>
        <v>20.047016455759518</v>
      </c>
      <c r="D31" s="169"/>
      <c r="E31" s="167">
        <v>1977</v>
      </c>
      <c r="F31" s="279">
        <v>1.2590184014339538</v>
      </c>
      <c r="G31" s="169">
        <f>+AVERAGE(C230:C241)</f>
        <v>38.858600510178555</v>
      </c>
      <c r="H31" s="172">
        <v>126</v>
      </c>
      <c r="I31" s="172">
        <f t="shared" si="1"/>
        <v>2.597938144329897E-2</v>
      </c>
      <c r="J31" s="236">
        <f t="shared" si="2"/>
        <v>2.597938144329897</v>
      </c>
      <c r="K31" s="172">
        <f t="shared" si="8"/>
        <v>1</v>
      </c>
      <c r="L31" s="236">
        <f t="shared" si="3"/>
        <v>1.0937803692905732</v>
      </c>
      <c r="M31" s="236">
        <f t="shared" si="3"/>
        <v>1.064976010966415</v>
      </c>
      <c r="N31" s="236">
        <f t="shared" si="3"/>
        <v>1</v>
      </c>
      <c r="P31" s="236">
        <f t="shared" si="9"/>
        <v>97.366531788933031</v>
      </c>
      <c r="Q31" s="77">
        <f t="shared" si="6"/>
        <v>80.183292305887605</v>
      </c>
      <c r="R31" s="236">
        <v>1.2198663409717696</v>
      </c>
      <c r="S31" s="236">
        <v>126.6</v>
      </c>
      <c r="T31" s="236">
        <v>60.616999999999997</v>
      </c>
      <c r="U31" s="236">
        <f t="shared" si="7"/>
        <v>0.10440549456582482</v>
      </c>
      <c r="V31" s="236">
        <f t="shared" si="7"/>
        <v>0</v>
      </c>
      <c r="W31" s="236">
        <f t="shared" si="7"/>
        <v>3.6839999999999975</v>
      </c>
    </row>
    <row r="32" spans="1:26">
      <c r="A32" s="170">
        <v>22098</v>
      </c>
      <c r="B32" s="171">
        <v>33.5</v>
      </c>
      <c r="C32" s="169">
        <f t="shared" si="0"/>
        <v>20.107037463112089</v>
      </c>
      <c r="D32" s="169"/>
      <c r="E32" s="167">
        <v>1978</v>
      </c>
      <c r="F32" s="279">
        <v>1.4709988430792085</v>
      </c>
      <c r="G32" s="169">
        <f>+AVERAGE(C242:C253)</f>
        <v>41.899664882708954</v>
      </c>
      <c r="H32" s="172">
        <v>126</v>
      </c>
      <c r="I32" s="172">
        <f t="shared" si="1"/>
        <v>2.597938144329897E-2</v>
      </c>
      <c r="J32" s="236">
        <f t="shared" si="2"/>
        <v>2.597938144329897</v>
      </c>
      <c r="K32" s="172">
        <f t="shared" si="8"/>
        <v>1</v>
      </c>
      <c r="L32" s="236">
        <f t="shared" si="3"/>
        <v>1.1683696135051087</v>
      </c>
      <c r="M32" s="236">
        <f t="shared" si="3"/>
        <v>1.078259750289613</v>
      </c>
      <c r="N32" s="236">
        <f t="shared" si="3"/>
        <v>1</v>
      </c>
      <c r="P32" s="236">
        <f t="shared" si="9"/>
        <v>92.287555053304899</v>
      </c>
      <c r="Q32" s="77">
        <f t="shared" si="6"/>
        <v>73.999200030348419</v>
      </c>
      <c r="R32" s="236">
        <v>1.3499071132211673</v>
      </c>
      <c r="S32" s="236">
        <v>126.6</v>
      </c>
      <c r="T32" s="236">
        <v>65.242000000000004</v>
      </c>
      <c r="U32" s="236">
        <f t="shared" si="7"/>
        <v>0.1300407722493977</v>
      </c>
      <c r="V32" s="236">
        <f t="shared" si="7"/>
        <v>0</v>
      </c>
      <c r="W32" s="236">
        <f t="shared" si="7"/>
        <v>4.6250000000000071</v>
      </c>
    </row>
    <row r="33" spans="1:23">
      <c r="A33" s="170">
        <v>22129</v>
      </c>
      <c r="B33" s="171">
        <v>33.4</v>
      </c>
      <c r="C33" s="169">
        <f t="shared" si="0"/>
        <v>20.047016455759518</v>
      </c>
      <c r="D33" s="169"/>
      <c r="E33" s="167">
        <v>1979</v>
      </c>
      <c r="F33" s="279">
        <v>1.9961957684219374</v>
      </c>
      <c r="G33" s="169">
        <f>+AVERAGE(C254:C265)</f>
        <v>46.556294703146115</v>
      </c>
      <c r="H33" s="172">
        <v>126</v>
      </c>
      <c r="I33" s="172">
        <f t="shared" si="1"/>
        <v>2.597938144329897E-2</v>
      </c>
      <c r="J33" s="236">
        <f t="shared" si="2"/>
        <v>2.597938144329897</v>
      </c>
      <c r="K33" s="172">
        <f t="shared" si="8"/>
        <v>1</v>
      </c>
      <c r="L33" s="236">
        <f t="shared" si="3"/>
        <v>1.3570342205323194</v>
      </c>
      <c r="M33" s="236">
        <f t="shared" si="3"/>
        <v>1.1111376387728304</v>
      </c>
      <c r="N33" s="236">
        <f t="shared" si="3"/>
        <v>1</v>
      </c>
      <c r="P33" s="236">
        <f t="shared" si="9"/>
        <v>81.87985401996481</v>
      </c>
      <c r="Q33" s="77">
        <f t="shared" si="6"/>
        <v>60.590436960791045</v>
      </c>
      <c r="R33" s="236">
        <v>1.7301015860664497</v>
      </c>
      <c r="S33" s="236">
        <v>126.6</v>
      </c>
      <c r="T33" s="236">
        <v>72.582999999999998</v>
      </c>
      <c r="U33" s="236">
        <f t="shared" si="7"/>
        <v>0.38019447284528241</v>
      </c>
      <c r="V33" s="236">
        <f t="shared" si="7"/>
        <v>0</v>
      </c>
      <c r="W33" s="236">
        <f t="shared" si="7"/>
        <v>7.340999999999994</v>
      </c>
    </row>
    <row r="34" spans="1:23">
      <c r="A34" s="170">
        <v>22160</v>
      </c>
      <c r="B34" s="171">
        <v>33.4</v>
      </c>
      <c r="C34" s="169">
        <f t="shared" si="0"/>
        <v>20.047016455759518</v>
      </c>
      <c r="D34" s="169"/>
      <c r="E34" s="167">
        <v>1980</v>
      </c>
      <c r="F34" s="279">
        <v>2.2959695817825621</v>
      </c>
      <c r="G34" s="169">
        <f>+AVERAGE(C266:C277)</f>
        <v>52.823488220877316</v>
      </c>
      <c r="H34" s="172">
        <v>126</v>
      </c>
      <c r="I34" s="172">
        <f t="shared" si="1"/>
        <v>2.597938144329897E-2</v>
      </c>
      <c r="J34" s="236">
        <f t="shared" si="2"/>
        <v>2.597938144329897</v>
      </c>
      <c r="K34" s="172">
        <f t="shared" si="8"/>
        <v>1</v>
      </c>
      <c r="L34" s="236">
        <f t="shared" si="3"/>
        <v>1.150172552263051</v>
      </c>
      <c r="M34" s="236">
        <f t="shared" si="3"/>
        <v>1.1346153846153844</v>
      </c>
      <c r="N34" s="236">
        <f t="shared" si="3"/>
        <v>1</v>
      </c>
      <c r="P34" s="236">
        <f t="shared" si="9"/>
        <v>98.647405763851964</v>
      </c>
      <c r="Q34" s="77">
        <f t="shared" si="6"/>
        <v>59.770894202802488</v>
      </c>
      <c r="R34" s="236">
        <v>2.1184061285788984</v>
      </c>
      <c r="S34" s="236">
        <v>126.6</v>
      </c>
      <c r="T34" s="236">
        <v>82.382999999999996</v>
      </c>
      <c r="U34" s="236">
        <f t="shared" si="7"/>
        <v>0.38830454251244872</v>
      </c>
      <c r="V34" s="236">
        <f t="shared" si="7"/>
        <v>0</v>
      </c>
      <c r="W34" s="236">
        <f t="shared" si="7"/>
        <v>9.7999999999999972</v>
      </c>
    </row>
    <row r="35" spans="1:23">
      <c r="A35" s="170">
        <v>22190</v>
      </c>
      <c r="B35" s="171">
        <v>33.700000000000003</v>
      </c>
      <c r="C35" s="169">
        <f t="shared" si="0"/>
        <v>20.227079477817238</v>
      </c>
      <c r="D35" s="169"/>
      <c r="E35" s="167">
        <v>1981</v>
      </c>
      <c r="F35" s="279">
        <v>2.4823582563184159</v>
      </c>
      <c r="G35" s="169">
        <f>+AVERAGE(C278:C289)</f>
        <v>57.710198569499333</v>
      </c>
      <c r="H35" s="172">
        <v>126</v>
      </c>
      <c r="I35" s="172">
        <f t="shared" si="1"/>
        <v>2.597938144329897E-2</v>
      </c>
      <c r="J35" s="236">
        <f t="shared" si="2"/>
        <v>2.597938144329897</v>
      </c>
      <c r="K35" s="172">
        <f t="shared" si="8"/>
        <v>1</v>
      </c>
      <c r="L35" s="236">
        <f t="shared" si="3"/>
        <v>1.0811808118081181</v>
      </c>
      <c r="M35" s="236">
        <f t="shared" si="3"/>
        <v>1.0925101789603258</v>
      </c>
      <c r="N35" s="236">
        <f t="shared" si="3"/>
        <v>1</v>
      </c>
      <c r="P35" s="236">
        <f t="shared" si="9"/>
        <v>101.04786979462399</v>
      </c>
      <c r="Q35" s="77">
        <f t="shared" si="6"/>
        <v>60.397215349130313</v>
      </c>
      <c r="R35" s="236">
        <v>2.4142275476339088</v>
      </c>
      <c r="S35" s="236">
        <v>126.6</v>
      </c>
      <c r="T35" s="236">
        <v>90.933000000000007</v>
      </c>
      <c r="U35" s="236">
        <f t="shared" si="7"/>
        <v>0.29582141905501036</v>
      </c>
      <c r="V35" s="236">
        <f t="shared" si="7"/>
        <v>0</v>
      </c>
      <c r="W35" s="236">
        <f t="shared" si="7"/>
        <v>8.5500000000000114</v>
      </c>
    </row>
    <row r="36" spans="1:23">
      <c r="A36" s="170">
        <v>22221</v>
      </c>
      <c r="B36" s="171">
        <v>33.700000000000003</v>
      </c>
      <c r="C36" s="169">
        <f t="shared" si="0"/>
        <v>20.227079477817238</v>
      </c>
      <c r="D36" s="169"/>
      <c r="E36" s="167">
        <v>1982</v>
      </c>
      <c r="F36" s="279">
        <v>2.7026357807698793</v>
      </c>
      <c r="G36" s="169">
        <f>+AVERAGE(C290:C301)</f>
        <v>60.021007352573413</v>
      </c>
      <c r="H36" s="172">
        <v>126</v>
      </c>
      <c r="I36" s="172">
        <f t="shared" si="1"/>
        <v>2.597938144329897E-2</v>
      </c>
      <c r="J36" s="236">
        <f t="shared" si="2"/>
        <v>2.597938144329897</v>
      </c>
      <c r="K36" s="172">
        <f t="shared" si="8"/>
        <v>1</v>
      </c>
      <c r="L36" s="236">
        <f t="shared" si="3"/>
        <v>1.0887372013651877</v>
      </c>
      <c r="M36" s="236">
        <f t="shared" si="3"/>
        <v>1.0400416016640666</v>
      </c>
      <c r="N36" s="236">
        <f t="shared" si="3"/>
        <v>1</v>
      </c>
      <c r="P36" s="236">
        <f t="shared" si="9"/>
        <v>95.52733206506943</v>
      </c>
      <c r="Q36" s="77">
        <f t="shared" si="6"/>
        <v>57.695848464618798</v>
      </c>
      <c r="R36" s="236">
        <v>2.5776706467060682</v>
      </c>
      <c r="S36" s="236">
        <v>126.6</v>
      </c>
      <c r="T36" s="236">
        <v>96.533000000000001</v>
      </c>
      <c r="U36" s="236">
        <f t="shared" si="7"/>
        <v>0.16344309907215937</v>
      </c>
      <c r="V36" s="236">
        <f t="shared" si="7"/>
        <v>0</v>
      </c>
      <c r="W36" s="236">
        <f t="shared" si="7"/>
        <v>5.5999999999999943</v>
      </c>
    </row>
    <row r="37" spans="1:23">
      <c r="A37" s="170">
        <v>22251</v>
      </c>
      <c r="B37" s="171">
        <v>33.6</v>
      </c>
      <c r="C37" s="169">
        <f t="shared" si="0"/>
        <v>20.167058470464667</v>
      </c>
      <c r="D37" s="169"/>
      <c r="E37" s="167">
        <v>1983</v>
      </c>
      <c r="F37" s="279">
        <v>3.0838853423204893</v>
      </c>
      <c r="G37" s="169">
        <f>+AVERAGE(C314:C325)</f>
        <v>62.266793377682198</v>
      </c>
      <c r="H37" s="172">
        <v>126</v>
      </c>
      <c r="I37" s="172">
        <f t="shared" si="1"/>
        <v>2.597938144329897E-2</v>
      </c>
      <c r="J37" s="236">
        <f t="shared" si="2"/>
        <v>2.597938144329897</v>
      </c>
      <c r="K37" s="172">
        <f t="shared" si="8"/>
        <v>1</v>
      </c>
      <c r="L37" s="236">
        <f t="shared" si="3"/>
        <v>1.1410658307210031</v>
      </c>
      <c r="M37" s="236">
        <f t="shared" si="3"/>
        <v>1.0374166666666667</v>
      </c>
      <c r="N37" s="236">
        <f t="shared" si="3"/>
        <v>1</v>
      </c>
      <c r="P37" s="236">
        <f t="shared" si="9"/>
        <v>90.91646062271063</v>
      </c>
      <c r="Q37" s="77">
        <f t="shared" si="6"/>
        <v>52.45502335027394</v>
      </c>
      <c r="R37" s="236">
        <v>2.92450184506114</v>
      </c>
      <c r="S37" s="236">
        <v>126.6</v>
      </c>
      <c r="T37" s="236">
        <v>99.582999999999998</v>
      </c>
      <c r="U37" s="236">
        <f t="shared" si="7"/>
        <v>0.34683119835507181</v>
      </c>
      <c r="V37" s="236">
        <f t="shared" si="7"/>
        <v>0</v>
      </c>
      <c r="W37" s="236">
        <f t="shared" si="7"/>
        <v>3.0499999999999972</v>
      </c>
    </row>
    <row r="38" spans="1:23">
      <c r="A38" s="170">
        <v>22282</v>
      </c>
      <c r="B38" s="171">
        <v>33.6</v>
      </c>
      <c r="C38" s="169">
        <f t="shared" si="0"/>
        <v>20.167058470464667</v>
      </c>
      <c r="D38" s="169"/>
      <c r="E38" s="167">
        <v>1984</v>
      </c>
      <c r="F38" s="279">
        <v>4.0031203962814041</v>
      </c>
      <c r="G38" s="169">
        <f>+AVERAGE(C314:C325)</f>
        <v>62.266793377682198</v>
      </c>
      <c r="H38" s="172">
        <v>240</v>
      </c>
      <c r="I38" s="172">
        <f t="shared" si="1"/>
        <v>4.9484536082474224E-2</v>
      </c>
      <c r="J38" s="236">
        <f t="shared" si="2"/>
        <v>4.9484536082474229</v>
      </c>
      <c r="K38" s="172">
        <f t="shared" si="8"/>
        <v>1.9047619047619047</v>
      </c>
      <c r="L38" s="236">
        <f t="shared" si="3"/>
        <v>1.2980769230769229</v>
      </c>
      <c r="M38" s="236">
        <f t="shared" si="3"/>
        <v>1</v>
      </c>
      <c r="N38" s="236">
        <f t="shared" si="3"/>
        <v>1.9047619047619047</v>
      </c>
      <c r="P38" s="236">
        <f t="shared" si="9"/>
        <v>146.73721340388008</v>
      </c>
      <c r="Q38" s="77">
        <f t="shared" si="6"/>
        <v>76.971039554546593</v>
      </c>
      <c r="R38" s="236">
        <v>3.5180862318642396</v>
      </c>
      <c r="S38" s="236">
        <v>240</v>
      </c>
      <c r="T38" s="236">
        <v>103.93300000000001</v>
      </c>
      <c r="U38" s="236">
        <f t="shared" si="7"/>
        <v>0.59358438680309966</v>
      </c>
      <c r="V38" s="236">
        <f t="shared" si="7"/>
        <v>113.4</v>
      </c>
      <c r="W38" s="236">
        <f t="shared" si="7"/>
        <v>4.3500000000000085</v>
      </c>
    </row>
    <row r="39" spans="1:23">
      <c r="A39" s="170">
        <v>22313</v>
      </c>
      <c r="B39" s="171">
        <v>33.700000000000003</v>
      </c>
      <c r="C39" s="169">
        <f t="shared" si="0"/>
        <v>20.227079477817238</v>
      </c>
      <c r="D39" s="169"/>
      <c r="E39" s="167">
        <v>1985</v>
      </c>
      <c r="F39" s="279">
        <v>4.9265915564817711</v>
      </c>
      <c r="G39" s="169">
        <f>+AVERAGE(C326:C337)</f>
        <v>62.806982443855354</v>
      </c>
      <c r="H39" s="172">
        <v>240</v>
      </c>
      <c r="I39" s="172">
        <f t="shared" si="1"/>
        <v>4.9484536082474224E-2</v>
      </c>
      <c r="J39" s="236">
        <f t="shared" si="2"/>
        <v>4.9484536082474229</v>
      </c>
      <c r="K39" s="172">
        <f t="shared" si="8"/>
        <v>1</v>
      </c>
      <c r="L39" s="236">
        <f t="shared" si="3"/>
        <v>1.2306878306878308</v>
      </c>
      <c r="M39" s="236">
        <f t="shared" si="3"/>
        <v>1.0086753956141055</v>
      </c>
      <c r="N39" s="236">
        <f t="shared" si="3"/>
        <v>1</v>
      </c>
      <c r="P39" s="236">
        <f t="shared" si="9"/>
        <v>81.96029654817967</v>
      </c>
      <c r="Q39" s="77">
        <f t="shared" si="6"/>
        <v>63.085692275123058</v>
      </c>
      <c r="R39" s="236">
        <v>4.4050209757493386</v>
      </c>
      <c r="S39" s="236">
        <v>240</v>
      </c>
      <c r="T39" s="236">
        <v>107.6</v>
      </c>
      <c r="U39" s="236">
        <f t="shared" si="7"/>
        <v>0.88693474388509896</v>
      </c>
      <c r="V39" s="236">
        <f t="shared" si="7"/>
        <v>0</v>
      </c>
      <c r="W39" s="236">
        <f t="shared" si="7"/>
        <v>3.6669999999999874</v>
      </c>
    </row>
    <row r="40" spans="1:23">
      <c r="A40" s="170">
        <v>22341</v>
      </c>
      <c r="B40" s="171">
        <v>33.6</v>
      </c>
      <c r="C40" s="169">
        <f t="shared" si="0"/>
        <v>20.167058470464667</v>
      </c>
      <c r="D40" s="169"/>
      <c r="E40" s="167">
        <v>1986</v>
      </c>
      <c r="F40" s="279">
        <v>6.1148193566478382</v>
      </c>
      <c r="G40" s="169">
        <f>+AVERAGE(C338:C349)</f>
        <v>61.971690091532032</v>
      </c>
      <c r="H40" s="172">
        <v>320</v>
      </c>
      <c r="I40" s="172">
        <f t="shared" si="1"/>
        <v>6.5979381443298971E-2</v>
      </c>
      <c r="J40" s="236">
        <f t="shared" si="2"/>
        <v>6.5979381443298974</v>
      </c>
      <c r="K40" s="172">
        <f t="shared" si="8"/>
        <v>1.3333333333333335</v>
      </c>
      <c r="L40" s="236">
        <f t="shared" si="3"/>
        <v>1.2411865864144453</v>
      </c>
      <c r="M40" s="236">
        <f t="shared" si="3"/>
        <v>0.98670064505853294</v>
      </c>
      <c r="N40" s="236">
        <f t="shared" si="3"/>
        <v>1.3333333333333333</v>
      </c>
      <c r="P40" s="236">
        <f t="shared" si="9"/>
        <v>105.99541394324663</v>
      </c>
      <c r="Q40" s="77">
        <f t="shared" si="6"/>
        <v>66.867940665979475</v>
      </c>
      <c r="R40" s="236">
        <v>5.8036420524748173</v>
      </c>
      <c r="S40" s="236">
        <v>320</v>
      </c>
      <c r="T40" s="236">
        <v>109.69199999999999</v>
      </c>
      <c r="U40" s="236">
        <f t="shared" si="7"/>
        <v>1.3986210767254788</v>
      </c>
      <c r="V40" s="236">
        <f t="shared" si="7"/>
        <v>80</v>
      </c>
      <c r="W40" s="236">
        <f t="shared" si="7"/>
        <v>2.0919999999999987</v>
      </c>
    </row>
    <row r="41" spans="1:23">
      <c r="A41" s="170">
        <v>22372</v>
      </c>
      <c r="B41" s="171">
        <v>33.4</v>
      </c>
      <c r="C41" s="169">
        <f t="shared" si="0"/>
        <v>20.047016455759518</v>
      </c>
      <c r="D41" s="169"/>
      <c r="E41" s="167">
        <v>1987</v>
      </c>
      <c r="F41" s="279">
        <v>8.0740184923940284</v>
      </c>
      <c r="G41" s="169">
        <f>+AVERAGE(C350:C361)</f>
        <v>63.242134747161508</v>
      </c>
      <c r="H41" s="172">
        <v>320</v>
      </c>
      <c r="I41" s="172">
        <f t="shared" si="1"/>
        <v>6.5979381443298971E-2</v>
      </c>
      <c r="J41" s="236">
        <f t="shared" si="2"/>
        <v>6.5979381443298974</v>
      </c>
      <c r="K41" s="172">
        <f t="shared" si="8"/>
        <v>1</v>
      </c>
      <c r="L41" s="236">
        <f t="shared" si="3"/>
        <v>1.3204018011776932</v>
      </c>
      <c r="M41" s="236">
        <f t="shared" si="3"/>
        <v>1.020500403551251</v>
      </c>
      <c r="N41" s="236">
        <f t="shared" si="3"/>
        <v>1</v>
      </c>
      <c r="P41" s="236">
        <f t="shared" si="9"/>
        <v>77.287110835583988</v>
      </c>
      <c r="Q41" s="77">
        <f t="shared" si="6"/>
        <v>51.680299415988088</v>
      </c>
      <c r="R41" s="236">
        <v>7.0690022870842268</v>
      </c>
      <c r="S41" s="236">
        <v>320</v>
      </c>
      <c r="T41" s="236">
        <v>113.617</v>
      </c>
      <c r="U41" s="236">
        <f t="shared" si="7"/>
        <v>1.2653602346094095</v>
      </c>
      <c r="V41" s="236">
        <f t="shared" si="7"/>
        <v>0</v>
      </c>
      <c r="W41" s="236">
        <f t="shared" si="7"/>
        <v>3.9250000000000114</v>
      </c>
    </row>
    <row r="42" spans="1:23">
      <c r="A42" s="170">
        <v>22402</v>
      </c>
      <c r="B42" s="171">
        <v>33.299999999999997</v>
      </c>
      <c r="C42" s="169">
        <f t="shared" si="0"/>
        <v>19.98699544840694</v>
      </c>
      <c r="D42" s="169"/>
      <c r="E42" s="167">
        <v>1988</v>
      </c>
      <c r="F42" s="279">
        <v>9.4422808077367737</v>
      </c>
      <c r="G42" s="169">
        <f>+AVERAGE(C362:C373)</f>
        <v>64.822687940779289</v>
      </c>
      <c r="H42" s="172">
        <v>400</v>
      </c>
      <c r="I42" s="172">
        <f t="shared" si="1"/>
        <v>8.247422680412371E-2</v>
      </c>
      <c r="J42" s="236">
        <f t="shared" si="2"/>
        <v>8.2474226804123703</v>
      </c>
      <c r="K42" s="172">
        <f t="shared" si="8"/>
        <v>1.2499999999999998</v>
      </c>
      <c r="L42" s="236">
        <f t="shared" si="3"/>
        <v>1.1694648478488983</v>
      </c>
      <c r="M42" s="236">
        <f t="shared" si="3"/>
        <v>1.0249920911104082</v>
      </c>
      <c r="N42" s="236">
        <f t="shared" si="3"/>
        <v>1.25</v>
      </c>
      <c r="P42" s="236">
        <f t="shared" si="9"/>
        <v>109.55781323779937</v>
      </c>
      <c r="Q42" s="77">
        <f t="shared" si="6"/>
        <v>56.619805914903729</v>
      </c>
      <c r="R42" s="236">
        <v>8.6967261095933583</v>
      </c>
      <c r="S42" s="236">
        <v>400</v>
      </c>
      <c r="T42" s="236">
        <v>118.27500000000001</v>
      </c>
      <c r="U42" s="236">
        <f t="shared" si="7"/>
        <v>1.6277238225091315</v>
      </c>
      <c r="V42" s="236">
        <f t="shared" si="7"/>
        <v>80</v>
      </c>
      <c r="W42" s="236">
        <f t="shared" si="7"/>
        <v>4.6580000000000013</v>
      </c>
    </row>
    <row r="43" spans="1:23">
      <c r="A43" s="170">
        <v>22433</v>
      </c>
      <c r="B43" s="171">
        <v>33.299999999999997</v>
      </c>
      <c r="C43" s="169">
        <f t="shared" si="0"/>
        <v>19.98699544840694</v>
      </c>
      <c r="D43" s="169"/>
      <c r="E43" s="167">
        <v>1989</v>
      </c>
      <c r="F43" s="279">
        <v>12.13644437602775</v>
      </c>
      <c r="G43" s="169">
        <f>+AVERAGE(C374:C385)</f>
        <v>68.148852098234372</v>
      </c>
      <c r="H43" s="172">
        <v>1220</v>
      </c>
      <c r="I43" s="172">
        <f t="shared" si="1"/>
        <v>0.25154639175257731</v>
      </c>
      <c r="J43" s="236">
        <f t="shared" si="2"/>
        <v>25.154639175257731</v>
      </c>
      <c r="K43" s="172">
        <f t="shared" si="8"/>
        <v>3.0500000000000003</v>
      </c>
      <c r="L43" s="236">
        <f t="shared" si="3"/>
        <v>1.2853297442799461</v>
      </c>
      <c r="M43" s="236">
        <f t="shared" si="3"/>
        <v>1.0513117283950613</v>
      </c>
      <c r="N43" s="236">
        <f t="shared" si="3"/>
        <v>3.05</v>
      </c>
      <c r="P43" s="236">
        <f t="shared" si="9"/>
        <v>249.46911762329509</v>
      </c>
      <c r="Q43" s="77">
        <f t="shared" si="6"/>
        <v>141.2489302159326</v>
      </c>
      <c r="R43" s="236">
        <v>10.955453257354078</v>
      </c>
      <c r="S43" s="236">
        <v>1220</v>
      </c>
      <c r="T43" s="236">
        <v>123.94199999999999</v>
      </c>
      <c r="U43" s="236">
        <f t="shared" si="7"/>
        <v>2.2587271477607196</v>
      </c>
      <c r="V43" s="236">
        <f t="shared" si="7"/>
        <v>820</v>
      </c>
      <c r="W43" s="236">
        <f t="shared" si="7"/>
        <v>5.6669999999999874</v>
      </c>
    </row>
    <row r="44" spans="1:23">
      <c r="A44" s="170">
        <v>22463</v>
      </c>
      <c r="B44" s="171">
        <v>33.299999999999997</v>
      </c>
      <c r="C44" s="169">
        <f t="shared" si="0"/>
        <v>19.98699544840694</v>
      </c>
      <c r="D44" s="169"/>
      <c r="E44" s="167">
        <v>1990</v>
      </c>
      <c r="F44" s="279">
        <v>17.484528503334918</v>
      </c>
      <c r="G44" s="169">
        <f>+AVERAGE(C386:C397)</f>
        <v>71.505026759365776</v>
      </c>
      <c r="H44" s="172">
        <v>1230</v>
      </c>
      <c r="I44" s="172">
        <f t="shared" si="1"/>
        <v>0.2536082474226804</v>
      </c>
      <c r="J44" s="236">
        <f t="shared" si="2"/>
        <v>25.36082474226804</v>
      </c>
      <c r="K44" s="172">
        <f t="shared" si="8"/>
        <v>1.0081967213114753</v>
      </c>
      <c r="L44" s="236">
        <f t="shared" si="3"/>
        <v>1.4406631762652704</v>
      </c>
      <c r="M44" s="236">
        <f t="shared" si="3"/>
        <v>1.0492477064220185</v>
      </c>
      <c r="N44" s="236">
        <f t="shared" si="3"/>
        <v>1.0081967213114753</v>
      </c>
      <c r="P44" s="236">
        <f t="shared" si="9"/>
        <v>73.427857037381656</v>
      </c>
      <c r="Q44" s="77">
        <f t="shared" si="6"/>
        <v>103.71606254578596</v>
      </c>
      <c r="R44" s="236">
        <v>15.138784673238799</v>
      </c>
      <c r="S44" s="236">
        <v>1263</v>
      </c>
      <c r="T44" s="236">
        <v>130.65799999999999</v>
      </c>
      <c r="U44" s="236">
        <f t="shared" si="7"/>
        <v>4.1833314158847212</v>
      </c>
      <c r="V44" s="236">
        <f t="shared" si="7"/>
        <v>43</v>
      </c>
      <c r="W44" s="236">
        <f t="shared" si="7"/>
        <v>6.715999999999994</v>
      </c>
    </row>
    <row r="45" spans="1:23">
      <c r="A45" s="170">
        <v>22494</v>
      </c>
      <c r="B45" s="171">
        <v>33.4</v>
      </c>
      <c r="C45" s="169">
        <f t="shared" si="0"/>
        <v>20.047016455759518</v>
      </c>
      <c r="D45" s="169"/>
      <c r="E45" s="167">
        <v>1991</v>
      </c>
      <c r="F45" s="279">
        <v>19.549630295067388</v>
      </c>
      <c r="G45" s="169">
        <f>+AVERAGE(C398:C409)</f>
        <v>73.05056769869455</v>
      </c>
      <c r="H45" s="172">
        <v>1317</v>
      </c>
      <c r="I45" s="172">
        <f t="shared" si="1"/>
        <v>0.27154639175257733</v>
      </c>
      <c r="J45" s="236">
        <f t="shared" si="2"/>
        <v>27.154639175257735</v>
      </c>
      <c r="K45" s="172">
        <f t="shared" si="8"/>
        <v>1.0707317073170732</v>
      </c>
      <c r="L45" s="236">
        <f t="shared" si="3"/>
        <v>1.1181102362204725</v>
      </c>
      <c r="M45" s="236">
        <f t="shared" si="3"/>
        <v>1.0216144376049245</v>
      </c>
      <c r="N45" s="236">
        <f t="shared" si="3"/>
        <v>1.0707317073170732</v>
      </c>
      <c r="P45" s="236">
        <f t="shared" si="9"/>
        <v>97.832479800390516</v>
      </c>
      <c r="Q45" s="77">
        <f t="shared" si="6"/>
        <v>101.46799593986647</v>
      </c>
      <c r="R45" s="236">
        <v>18.813077322682801</v>
      </c>
      <c r="S45" s="236">
        <v>1352</v>
      </c>
      <c r="T45" s="236">
        <v>136.167</v>
      </c>
      <c r="U45" s="236">
        <f t="shared" si="7"/>
        <v>3.674292649444002</v>
      </c>
      <c r="V45" s="236">
        <f t="shared" si="7"/>
        <v>89</v>
      </c>
      <c r="W45" s="236">
        <f t="shared" si="7"/>
        <v>5.5090000000000146</v>
      </c>
    </row>
    <row r="46" spans="1:23">
      <c r="A46" s="170">
        <v>22525</v>
      </c>
      <c r="B46" s="171">
        <v>33.299999999999997</v>
      </c>
      <c r="C46" s="169">
        <f t="shared" si="0"/>
        <v>19.98699544840694</v>
      </c>
      <c r="D46" s="169"/>
      <c r="E46" s="167">
        <v>1992</v>
      </c>
      <c r="F46" s="279">
        <v>23.031709623896298</v>
      </c>
      <c r="G46" s="169">
        <f>+AVERAGE(C410:C421)</f>
        <v>73.94588105837046</v>
      </c>
      <c r="H46" s="172">
        <v>1615</v>
      </c>
      <c r="I46" s="172">
        <f t="shared" si="1"/>
        <v>0.33298969072164947</v>
      </c>
      <c r="J46" s="236">
        <f t="shared" si="2"/>
        <v>33.298969072164944</v>
      </c>
      <c r="K46" s="172">
        <f t="shared" si="8"/>
        <v>1.2262718299164765</v>
      </c>
      <c r="L46" s="236">
        <f t="shared" ref="L46:N68" si="10">(F46/F45)</f>
        <v>1.1781148429035755</v>
      </c>
      <c r="M46" s="236">
        <f t="shared" si="10"/>
        <v>1.0122560766860667</v>
      </c>
      <c r="N46" s="236">
        <f t="shared" si="10"/>
        <v>1.2262718299164768</v>
      </c>
      <c r="P46" s="236">
        <f t="shared" si="9"/>
        <v>105.36333694282236</v>
      </c>
      <c r="Q46" s="77">
        <f t="shared" si="6"/>
        <v>106.91006645125078</v>
      </c>
      <c r="R46" s="236">
        <v>21.657975671327591</v>
      </c>
      <c r="S46" s="236">
        <v>1600</v>
      </c>
      <c r="T46" s="236">
        <v>140.30799999999999</v>
      </c>
      <c r="U46" s="236">
        <f t="shared" si="7"/>
        <v>2.8448983486447901</v>
      </c>
      <c r="V46" s="236">
        <f t="shared" si="7"/>
        <v>248</v>
      </c>
      <c r="W46" s="236">
        <f t="shared" si="7"/>
        <v>4.1409999999999911</v>
      </c>
    </row>
    <row r="47" spans="1:23">
      <c r="A47" s="170">
        <v>22555</v>
      </c>
      <c r="B47" s="171">
        <v>33.299999999999997</v>
      </c>
      <c r="C47" s="169">
        <f t="shared" si="0"/>
        <v>19.98699544840694</v>
      </c>
      <c r="D47" s="169"/>
      <c r="E47" s="167">
        <v>1993</v>
      </c>
      <c r="F47" s="279">
        <v>27.73166949656742</v>
      </c>
      <c r="G47" s="169">
        <f>+AVERAGE(C422:C433)</f>
        <v>74.866203171109888</v>
      </c>
      <c r="H47" s="172">
        <v>1830</v>
      </c>
      <c r="I47" s="172">
        <f t="shared" si="1"/>
        <v>0.37731958762886597</v>
      </c>
      <c r="J47" s="236">
        <f t="shared" si="2"/>
        <v>37.731958762886599</v>
      </c>
      <c r="K47" s="172">
        <f t="shared" si="8"/>
        <v>1.1331269349845203</v>
      </c>
      <c r="L47" s="236">
        <f t="shared" si="10"/>
        <v>1.2040647415854329</v>
      </c>
      <c r="M47" s="236">
        <f t="shared" si="10"/>
        <v>1.012445887445887</v>
      </c>
      <c r="N47" s="236">
        <f t="shared" si="10"/>
        <v>1.1331269349845201</v>
      </c>
      <c r="P47" s="236">
        <f t="shared" si="9"/>
        <v>95.279735852795099</v>
      </c>
      <c r="Q47" s="77">
        <f t="shared" si="6"/>
        <v>101.86362891479951</v>
      </c>
      <c r="R47" s="236">
        <v>25.612027837002017</v>
      </c>
      <c r="S47" s="236">
        <v>1822</v>
      </c>
      <c r="T47" s="236">
        <v>144.47499999999999</v>
      </c>
      <c r="U47" s="236">
        <f t="shared" si="7"/>
        <v>3.9540521656744261</v>
      </c>
      <c r="V47" s="236">
        <f t="shared" si="7"/>
        <v>222</v>
      </c>
      <c r="W47" s="236">
        <f t="shared" si="7"/>
        <v>4.1670000000000016</v>
      </c>
    </row>
    <row r="48" spans="1:23">
      <c r="A48" s="170">
        <v>22586</v>
      </c>
      <c r="B48" s="171">
        <v>33.4</v>
      </c>
      <c r="C48" s="169">
        <f t="shared" si="0"/>
        <v>20.047016455759518</v>
      </c>
      <c r="D48" s="169"/>
      <c r="E48" s="167">
        <v>1994</v>
      </c>
      <c r="F48" s="279">
        <v>32.800170612070808</v>
      </c>
      <c r="G48" s="169">
        <f>+AVERAGE(C434:C445)</f>
        <v>75.341369479317763</v>
      </c>
      <c r="H48" s="172">
        <v>1924</v>
      </c>
      <c r="I48" s="172">
        <f t="shared" si="1"/>
        <v>0.39670103092783504</v>
      </c>
      <c r="J48" s="236">
        <f t="shared" si="2"/>
        <v>39.670103092783506</v>
      </c>
      <c r="K48" s="172">
        <f t="shared" si="8"/>
        <v>1.0513661202185793</v>
      </c>
      <c r="L48" s="236">
        <f t="shared" si="10"/>
        <v>1.1827694187733904</v>
      </c>
      <c r="M48" s="236">
        <f t="shared" si="10"/>
        <v>1.0063468733297702</v>
      </c>
      <c r="N48" s="236">
        <f t="shared" si="10"/>
        <v>1.0513661202185793</v>
      </c>
      <c r="P48" s="236">
        <f t="shared" si="9"/>
        <v>89.454376399423197</v>
      </c>
      <c r="Q48" s="77">
        <f t="shared" si="6"/>
        <v>91.121474023556416</v>
      </c>
      <c r="R48" s="236">
        <v>30.890216211358247</v>
      </c>
      <c r="S48" s="236">
        <v>1919</v>
      </c>
      <c r="T48" s="236">
        <v>148.22499999999999</v>
      </c>
      <c r="U48" s="236">
        <f t="shared" si="7"/>
        <v>5.2781883743562297</v>
      </c>
      <c r="V48" s="236">
        <f t="shared" si="7"/>
        <v>97</v>
      </c>
      <c r="W48" s="236">
        <f t="shared" si="7"/>
        <v>3.75</v>
      </c>
    </row>
    <row r="49" spans="1:23">
      <c r="A49" s="170">
        <v>22616</v>
      </c>
      <c r="B49" s="171">
        <v>33.4</v>
      </c>
      <c r="C49" s="169">
        <f t="shared" si="0"/>
        <v>20.047016455759518</v>
      </c>
      <c r="D49" s="169"/>
      <c r="E49" s="167">
        <v>1995</v>
      </c>
      <c r="F49" s="279">
        <v>36.255065045852</v>
      </c>
      <c r="G49" s="169">
        <f>+AVERAGE(C446:C457)</f>
        <v>76.786875406392241</v>
      </c>
      <c r="H49" s="172">
        <v>1985</v>
      </c>
      <c r="I49" s="172">
        <f t="shared" si="1"/>
        <v>0.40927835051546391</v>
      </c>
      <c r="J49" s="236">
        <f t="shared" si="2"/>
        <v>40.927835051546388</v>
      </c>
      <c r="K49" s="172">
        <f t="shared" si="8"/>
        <v>1.0317047817047815</v>
      </c>
      <c r="L49" s="236">
        <f t="shared" si="10"/>
        <v>1.1053315994798441</v>
      </c>
      <c r="M49" s="236">
        <f t="shared" si="10"/>
        <v>1.0191860851092081</v>
      </c>
      <c r="N49" s="236">
        <f t="shared" si="10"/>
        <v>1.0317047817047817</v>
      </c>
      <c r="P49" s="236">
        <f t="shared" si="9"/>
        <v>95.129747303792783</v>
      </c>
      <c r="Q49" s="77">
        <f t="shared" si="6"/>
        <v>86.68362797810039</v>
      </c>
      <c r="R49" s="236">
        <v>35.027013577877305</v>
      </c>
      <c r="S49" s="236">
        <v>1977</v>
      </c>
      <c r="T49" s="236">
        <v>152.38300000000001</v>
      </c>
      <c r="U49" s="236">
        <f t="shared" si="7"/>
        <v>4.1367973665190583</v>
      </c>
      <c r="V49" s="236">
        <f t="shared" si="7"/>
        <v>58</v>
      </c>
      <c r="W49" s="236">
        <f t="shared" si="7"/>
        <v>4.1580000000000155</v>
      </c>
    </row>
    <row r="50" spans="1:23">
      <c r="A50" s="170">
        <v>22647</v>
      </c>
      <c r="B50" s="171">
        <v>33.5</v>
      </c>
      <c r="C50" s="169">
        <f t="shared" si="0"/>
        <v>20.107037463112089</v>
      </c>
      <c r="D50" s="169"/>
      <c r="E50" s="167">
        <v>1996</v>
      </c>
      <c r="F50" s="279">
        <v>39.219449776071663</v>
      </c>
      <c r="G50" s="169">
        <f>+AVERAGE(C458:C469)</f>
        <v>78.792577402090743</v>
      </c>
      <c r="H50" s="172">
        <v>2109</v>
      </c>
      <c r="I50" s="172">
        <f t="shared" si="1"/>
        <v>0.43484536082474229</v>
      </c>
      <c r="J50" s="236">
        <f t="shared" si="2"/>
        <v>43.484536082474229</v>
      </c>
      <c r="K50" s="172">
        <f t="shared" si="8"/>
        <v>1.0624685138539045</v>
      </c>
      <c r="L50" s="236">
        <f t="shared" si="10"/>
        <v>1.081764705882353</v>
      </c>
      <c r="M50" s="236">
        <f t="shared" si="10"/>
        <v>1.0261203751954144</v>
      </c>
      <c r="N50" s="236">
        <f t="shared" si="10"/>
        <v>1.0624685138539043</v>
      </c>
      <c r="P50" s="236">
        <f t="shared" si="9"/>
        <v>100.78167499279176</v>
      </c>
      <c r="Q50" s="77">
        <f t="shared" si="6"/>
        <v>87.36121222084985</v>
      </c>
      <c r="R50" s="236">
        <v>38.458804293737117</v>
      </c>
      <c r="S50" s="236">
        <v>2110</v>
      </c>
      <c r="T50" s="236">
        <v>156.858</v>
      </c>
      <c r="U50" s="236">
        <f t="shared" si="7"/>
        <v>3.4317907158598118</v>
      </c>
      <c r="V50" s="236">
        <f t="shared" si="7"/>
        <v>133</v>
      </c>
      <c r="W50" s="236">
        <f t="shared" si="7"/>
        <v>4.4749999999999943</v>
      </c>
    </row>
    <row r="51" spans="1:23">
      <c r="A51" s="170">
        <v>22678</v>
      </c>
      <c r="B51" s="171">
        <v>33.6</v>
      </c>
      <c r="C51" s="169">
        <f t="shared" si="0"/>
        <v>20.167058470464667</v>
      </c>
      <c r="D51" s="169"/>
      <c r="E51" s="167">
        <v>1997</v>
      </c>
      <c r="F51" s="279">
        <v>41.650671785028798</v>
      </c>
      <c r="G51" s="169">
        <f>+AVERAGE(C470:C481)</f>
        <v>79.112689441304482</v>
      </c>
      <c r="H51" s="172">
        <v>2360</v>
      </c>
      <c r="I51" s="172">
        <f t="shared" si="1"/>
        <v>0.48659793814432989</v>
      </c>
      <c r="J51" s="236">
        <f t="shared" si="2"/>
        <v>48.659793814432987</v>
      </c>
      <c r="K51" s="172">
        <f t="shared" si="8"/>
        <v>1.1190137505926978</v>
      </c>
      <c r="L51" s="236">
        <f t="shared" si="10"/>
        <v>1.0619902120717781</v>
      </c>
      <c r="M51" s="236">
        <f t="shared" si="10"/>
        <v>1.0040627182124042</v>
      </c>
      <c r="N51" s="236">
        <f t="shared" si="10"/>
        <v>1.119013750592698</v>
      </c>
      <c r="P51" s="236">
        <f t="shared" si="9"/>
        <v>105.79758413641784</v>
      </c>
      <c r="Q51" s="77">
        <f t="shared" si="6"/>
        <v>92.426052001948136</v>
      </c>
      <c r="R51" s="236">
        <v>41.13172673633327</v>
      </c>
      <c r="S51" s="236">
        <v>2360</v>
      </c>
      <c r="T51" s="236">
        <v>160.52500000000001</v>
      </c>
      <c r="U51" s="236">
        <f t="shared" si="7"/>
        <v>2.6729224425961533</v>
      </c>
      <c r="V51" s="236">
        <f t="shared" si="7"/>
        <v>250</v>
      </c>
      <c r="W51" s="236">
        <f t="shared" si="7"/>
        <v>3.6670000000000016</v>
      </c>
    </row>
    <row r="52" spans="1:23">
      <c r="A52" s="170">
        <v>22706</v>
      </c>
      <c r="B52" s="171">
        <v>33.5</v>
      </c>
      <c r="C52" s="169">
        <f t="shared" si="0"/>
        <v>20.107037463112089</v>
      </c>
      <c r="D52" s="169"/>
      <c r="E52" s="167">
        <v>1998</v>
      </c>
      <c r="F52" s="279">
        <v>47.75005331627213</v>
      </c>
      <c r="G52" s="169">
        <f>+AVERAGE(C482:C493)</f>
        <v>78.422447856749869</v>
      </c>
      <c r="H52" s="172">
        <v>2840</v>
      </c>
      <c r="I52" s="172">
        <f t="shared" si="1"/>
        <v>0.58556701030927838</v>
      </c>
      <c r="J52" s="236">
        <f t="shared" si="2"/>
        <v>58.55670103092784</v>
      </c>
      <c r="K52" s="172">
        <f t="shared" si="8"/>
        <v>1.2033898305084747</v>
      </c>
      <c r="L52" s="236">
        <f t="shared" si="10"/>
        <v>1.1464413722478237</v>
      </c>
      <c r="M52" s="236">
        <f t="shared" si="10"/>
        <v>0.99127521021685505</v>
      </c>
      <c r="N52" s="236">
        <f t="shared" si="10"/>
        <v>1.2033898305084745</v>
      </c>
      <c r="P52" s="236">
        <f t="shared" si="9"/>
        <v>104.05159270126629</v>
      </c>
      <c r="Q52" s="77">
        <f t="shared" si="6"/>
        <v>96.17077917892766</v>
      </c>
      <c r="R52" s="236">
        <v>45.883983791853275</v>
      </c>
      <c r="S52" s="236">
        <v>2840</v>
      </c>
      <c r="T52" s="236">
        <v>163.00800000000001</v>
      </c>
      <c r="U52" s="236">
        <f t="shared" si="7"/>
        <v>4.7522570555200048</v>
      </c>
      <c r="V52" s="236">
        <f t="shared" si="7"/>
        <v>480</v>
      </c>
      <c r="W52" s="236">
        <f t="shared" si="7"/>
        <v>2.4830000000000041</v>
      </c>
    </row>
    <row r="53" spans="1:23">
      <c r="A53" s="170">
        <v>22737</v>
      </c>
      <c r="B53" s="171">
        <v>33.5</v>
      </c>
      <c r="C53" s="169">
        <f t="shared" si="0"/>
        <v>20.107037463112089</v>
      </c>
      <c r="D53" s="169"/>
      <c r="E53" s="167">
        <v>1999</v>
      </c>
      <c r="F53" s="279">
        <v>50.33056088718277</v>
      </c>
      <c r="G53" s="169">
        <f>+AVERAGE(C494:C505)</f>
        <v>79.847946781373494</v>
      </c>
      <c r="H53" s="172">
        <v>3315</v>
      </c>
      <c r="I53" s="172">
        <f t="shared" si="1"/>
        <v>0.68350515463917527</v>
      </c>
      <c r="J53" s="236">
        <f t="shared" si="2"/>
        <v>68.350515463917532</v>
      </c>
      <c r="K53" s="172">
        <f t="shared" si="8"/>
        <v>1.1672535211267605</v>
      </c>
      <c r="L53" s="236">
        <f t="shared" si="10"/>
        <v>1.0540419830281376</v>
      </c>
      <c r="M53" s="236">
        <f t="shared" si="10"/>
        <v>1.0181771796670707</v>
      </c>
      <c r="N53" s="236">
        <f t="shared" si="10"/>
        <v>1.1672535211267605</v>
      </c>
      <c r="P53" s="236">
        <f t="shared" si="9"/>
        <v>112.75365851016358</v>
      </c>
      <c r="Q53" s="77">
        <f t="shared" si="6"/>
        <v>108.4360719419716</v>
      </c>
      <c r="R53" s="236">
        <v>48.981659202388578</v>
      </c>
      <c r="S53" s="236">
        <v>3329</v>
      </c>
      <c r="T53" s="236">
        <v>166.583</v>
      </c>
      <c r="U53" s="236">
        <f t="shared" si="7"/>
        <v>3.0976754105353024</v>
      </c>
      <c r="V53" s="236">
        <f t="shared" si="7"/>
        <v>489</v>
      </c>
      <c r="W53" s="236">
        <f t="shared" si="7"/>
        <v>3.5749999999999886</v>
      </c>
    </row>
    <row r="54" spans="1:23">
      <c r="A54" s="170">
        <v>22767</v>
      </c>
      <c r="B54" s="171">
        <v>33.4</v>
      </c>
      <c r="C54" s="169">
        <f t="shared" si="0"/>
        <v>20.047016455759518</v>
      </c>
      <c r="D54" s="169"/>
      <c r="E54" s="167">
        <v>2000</v>
      </c>
      <c r="F54" s="279">
        <v>54.681168692685006</v>
      </c>
      <c r="G54" s="169">
        <f>+AVERAGE(C506:C517)</f>
        <v>82.848997149002159</v>
      </c>
      <c r="H54" s="172">
        <v>3545</v>
      </c>
      <c r="I54" s="172">
        <f t="shared" si="1"/>
        <v>0.73092783505154635</v>
      </c>
      <c r="J54" s="236">
        <f t="shared" si="2"/>
        <v>73.092783505154628</v>
      </c>
      <c r="K54" s="172">
        <f t="shared" si="8"/>
        <v>1.0693815987933633</v>
      </c>
      <c r="L54" s="236">
        <f t="shared" si="10"/>
        <v>1.0864406779661016</v>
      </c>
      <c r="M54" s="236">
        <f t="shared" si="10"/>
        <v>1.0375845652718616</v>
      </c>
      <c r="N54" s="236">
        <f t="shared" si="10"/>
        <v>1.0693815987933635</v>
      </c>
      <c r="P54" s="236">
        <f t="shared" si="9"/>
        <v>102.12926152313679</v>
      </c>
      <c r="Q54" s="77">
        <f t="shared" si="6"/>
        <v>110.74495949903292</v>
      </c>
      <c r="R54" s="236">
        <v>53.382028861875312</v>
      </c>
      <c r="S54" s="236">
        <v>3527</v>
      </c>
      <c r="T54" s="236">
        <v>172.19200000000001</v>
      </c>
      <c r="U54" s="236">
        <f t="shared" si="7"/>
        <v>4.400369659486735</v>
      </c>
      <c r="V54" s="236">
        <f t="shared" si="7"/>
        <v>198</v>
      </c>
      <c r="W54" s="236">
        <f t="shared" si="7"/>
        <v>5.6090000000000089</v>
      </c>
    </row>
    <row r="55" spans="1:23">
      <c r="A55" s="170">
        <v>22798</v>
      </c>
      <c r="B55" s="171">
        <v>33.4</v>
      </c>
      <c r="C55" s="169">
        <f t="shared" si="0"/>
        <v>20.047016455759518</v>
      </c>
      <c r="D55" s="169"/>
      <c r="E55" s="167">
        <v>2001</v>
      </c>
      <c r="F55" s="279">
        <v>59.266368095542759</v>
      </c>
      <c r="G55" s="169">
        <f>+AVERAGE(C518:C529)</f>
        <v>84.454559095683493</v>
      </c>
      <c r="H55" s="172">
        <v>4635</v>
      </c>
      <c r="I55" s="172">
        <f t="shared" si="1"/>
        <v>0.95567010309278355</v>
      </c>
      <c r="J55" s="236">
        <f t="shared" si="2"/>
        <v>95.567010309278359</v>
      </c>
      <c r="K55" s="172">
        <f t="shared" si="8"/>
        <v>1.3074753173483784</v>
      </c>
      <c r="L55" s="236">
        <f t="shared" si="10"/>
        <v>1.0838533541341655</v>
      </c>
      <c r="M55" s="236">
        <f t="shared" si="10"/>
        <v>1.0193793769620865</v>
      </c>
      <c r="N55" s="236">
        <f t="shared" si="10"/>
        <v>1.307475317348378</v>
      </c>
      <c r="P55" s="236">
        <f t="shared" si="9"/>
        <v>122.96989895432964</v>
      </c>
      <c r="Q55" s="77">
        <f t="shared" si="6"/>
        <v>136.1829647929741</v>
      </c>
      <c r="R55" s="236">
        <v>57.261676263595653</v>
      </c>
      <c r="S55" s="236">
        <v>4682</v>
      </c>
      <c r="T55" s="236">
        <v>177.042</v>
      </c>
      <c r="U55" s="236">
        <f t="shared" si="7"/>
        <v>3.8796474017203408</v>
      </c>
      <c r="V55" s="236">
        <f t="shared" si="7"/>
        <v>1155</v>
      </c>
      <c r="W55" s="236">
        <f t="shared" si="7"/>
        <v>4.8499999999999943</v>
      </c>
    </row>
    <row r="56" spans="1:23">
      <c r="A56" s="170">
        <v>22828</v>
      </c>
      <c r="B56" s="171">
        <v>33.4</v>
      </c>
      <c r="C56" s="169">
        <f t="shared" si="0"/>
        <v>20.047016455759518</v>
      </c>
      <c r="D56" s="169"/>
      <c r="E56" s="167">
        <v>2002</v>
      </c>
      <c r="F56" s="279">
        <v>67.946257197696752</v>
      </c>
      <c r="G56" s="169">
        <f>+AVERAGE(C530:C541)</f>
        <v>83.35917571149902</v>
      </c>
      <c r="H56" s="172">
        <v>7000</v>
      </c>
      <c r="I56" s="172">
        <f t="shared" si="1"/>
        <v>1.4432989690721649</v>
      </c>
      <c r="J56" s="236">
        <f t="shared" si="2"/>
        <v>144.32989690721649</v>
      </c>
      <c r="K56" s="172">
        <f t="shared" si="8"/>
        <v>1.5102481121898597</v>
      </c>
      <c r="L56" s="236">
        <f t="shared" si="10"/>
        <v>1.1464555595537966</v>
      </c>
      <c r="M56" s="236">
        <f t="shared" si="10"/>
        <v>0.98702990820254655</v>
      </c>
      <c r="N56" s="236">
        <f t="shared" si="10"/>
        <v>1.5102481121898597</v>
      </c>
      <c r="P56" s="236">
        <f t="shared" si="9"/>
        <v>130.02336140425669</v>
      </c>
      <c r="Q56" s="77">
        <f t="shared" si="6"/>
        <v>177.06966848380037</v>
      </c>
      <c r="R56" s="236">
        <v>63.279306177578697</v>
      </c>
      <c r="S56" s="236">
        <v>7104</v>
      </c>
      <c r="T56" s="236">
        <v>179.86699999999999</v>
      </c>
      <c r="U56" s="236">
        <f t="shared" si="7"/>
        <v>6.0176299139830434</v>
      </c>
      <c r="V56" s="236">
        <f t="shared" si="7"/>
        <v>2422</v>
      </c>
      <c r="W56" s="236">
        <f t="shared" si="7"/>
        <v>2.8249999999999886</v>
      </c>
    </row>
    <row r="57" spans="1:23">
      <c r="A57" s="170">
        <v>22859</v>
      </c>
      <c r="B57" s="171">
        <v>33.5</v>
      </c>
      <c r="C57" s="169">
        <f t="shared" si="0"/>
        <v>20.107037463112089</v>
      </c>
      <c r="D57" s="169"/>
      <c r="E57" s="167">
        <v>2003</v>
      </c>
      <c r="F57" s="279">
        <v>74.280230326295595</v>
      </c>
      <c r="G57" s="169">
        <f>+AVERAGE(C542:C553)</f>
        <v>86.010103536237693</v>
      </c>
      <c r="H57" s="172">
        <v>6070</v>
      </c>
      <c r="I57" s="172">
        <f t="shared" si="1"/>
        <v>1.2515463917525773</v>
      </c>
      <c r="J57" s="236">
        <f t="shared" si="2"/>
        <v>125.15463917525773</v>
      </c>
      <c r="K57" s="172">
        <f t="shared" si="8"/>
        <v>0.8671428571428571</v>
      </c>
      <c r="L57" s="236">
        <f t="shared" si="10"/>
        <v>1.0932203389830508</v>
      </c>
      <c r="M57" s="236">
        <f t="shared" si="10"/>
        <v>1.0318012720508822</v>
      </c>
      <c r="N57" s="236">
        <f t="shared" si="10"/>
        <v>0.8671428571428571</v>
      </c>
      <c r="P57" s="236">
        <f t="shared" si="9"/>
        <v>81.842522604558681</v>
      </c>
      <c r="Q57" s="77">
        <f t="shared" si="6"/>
        <v>144.91828345467144</v>
      </c>
      <c r="R57" s="236">
        <v>72.282647330632003</v>
      </c>
      <c r="S57" s="236">
        <v>5983</v>
      </c>
      <c r="T57" s="236">
        <v>184</v>
      </c>
      <c r="U57" s="236">
        <f t="shared" si="7"/>
        <v>9.0033411530533058</v>
      </c>
      <c r="V57" s="236">
        <f t="shared" si="7"/>
        <v>-1121</v>
      </c>
      <c r="W57" s="236">
        <f t="shared" si="7"/>
        <v>4.1330000000000098</v>
      </c>
    </row>
    <row r="58" spans="1:23">
      <c r="A58" s="170">
        <v>22890</v>
      </c>
      <c r="B58" s="171">
        <v>33.799999999999997</v>
      </c>
      <c r="C58" s="169">
        <f t="shared" si="0"/>
        <v>20.287100485169809</v>
      </c>
      <c r="D58" s="169"/>
      <c r="E58" s="167">
        <v>2004</v>
      </c>
      <c r="F58" s="279">
        <v>76.370228193644706</v>
      </c>
      <c r="G58" s="169">
        <f>+AVERAGE(C554:C565)</f>
        <v>89.141199419796934</v>
      </c>
      <c r="H58" s="172">
        <v>6240</v>
      </c>
      <c r="I58" s="172">
        <f t="shared" si="1"/>
        <v>1.28659793814433</v>
      </c>
      <c r="J58" s="236">
        <f t="shared" si="2"/>
        <v>128.65979381443299</v>
      </c>
      <c r="K58" s="172">
        <f t="shared" si="8"/>
        <v>1.0280065897858319</v>
      </c>
      <c r="L58" s="236">
        <f t="shared" si="10"/>
        <v>1.0281366637955784</v>
      </c>
      <c r="M58" s="236">
        <f t="shared" si="10"/>
        <v>1.0364038148406605</v>
      </c>
      <c r="N58" s="236">
        <f t="shared" si="10"/>
        <v>1.0280065897858319</v>
      </c>
      <c r="P58" s="236">
        <f t="shared" si="9"/>
        <v>103.62726949179304</v>
      </c>
      <c r="Q58" s="77">
        <f t="shared" si="6"/>
        <v>150.17486013845291</v>
      </c>
      <c r="R58" s="236">
        <v>75.414089713513903</v>
      </c>
      <c r="S58" s="236">
        <v>6196</v>
      </c>
      <c r="T58" s="236">
        <v>188.90799999999999</v>
      </c>
      <c r="U58" s="236">
        <f t="shared" si="7"/>
        <v>3.1314423828819002</v>
      </c>
      <c r="V58" s="236">
        <f t="shared" si="7"/>
        <v>213</v>
      </c>
      <c r="W58" s="236">
        <f t="shared" si="7"/>
        <v>4.907999999999987</v>
      </c>
    </row>
    <row r="59" spans="1:23">
      <c r="A59" s="170">
        <v>22920</v>
      </c>
      <c r="B59" s="171">
        <v>33.6</v>
      </c>
      <c r="C59" s="169">
        <f t="shared" si="0"/>
        <v>20.167058470464667</v>
      </c>
      <c r="D59" s="169"/>
      <c r="E59" s="167">
        <v>2005</v>
      </c>
      <c r="F59" s="279">
        <v>83.898485817871617</v>
      </c>
      <c r="G59" s="169">
        <f>+AVERAGE(C566:C577)</f>
        <v>93.492722452858516</v>
      </c>
      <c r="H59" s="172">
        <v>6100</v>
      </c>
      <c r="I59" s="172">
        <f t="shared" si="1"/>
        <v>1.2577319587628866</v>
      </c>
      <c r="J59" s="236">
        <f t="shared" si="2"/>
        <v>125.77319587628865</v>
      </c>
      <c r="K59" s="172">
        <f t="shared" si="8"/>
        <v>0.97756410256410253</v>
      </c>
      <c r="L59" s="236">
        <f t="shared" si="10"/>
        <v>1.0985758168109465</v>
      </c>
      <c r="M59" s="236">
        <f t="shared" si="10"/>
        <v>1.0488160700258109</v>
      </c>
      <c r="N59" s="236">
        <f t="shared" si="10"/>
        <v>0.97756410256410253</v>
      </c>
      <c r="P59" s="236">
        <f t="shared" si="9"/>
        <v>93.328555440614764</v>
      </c>
      <c r="Q59" s="77">
        <f t="shared" si="6"/>
        <v>140.15602760218172</v>
      </c>
      <c r="R59" s="236">
        <v>80.537783464846797</v>
      </c>
      <c r="S59" s="236">
        <v>6121</v>
      </c>
      <c r="T59" s="236">
        <v>195.267</v>
      </c>
      <c r="U59" s="236">
        <f t="shared" si="7"/>
        <v>5.123693751332894</v>
      </c>
      <c r="V59" s="236">
        <f t="shared" si="7"/>
        <v>-75</v>
      </c>
      <c r="W59" s="236">
        <f t="shared" si="7"/>
        <v>6.3590000000000089</v>
      </c>
    </row>
    <row r="60" spans="1:23">
      <c r="A60" s="170">
        <v>22951</v>
      </c>
      <c r="B60" s="171">
        <v>33.6</v>
      </c>
      <c r="C60" s="169">
        <f t="shared" si="0"/>
        <v>20.167058470464667</v>
      </c>
      <c r="D60" s="169"/>
      <c r="E60" s="167">
        <v>2006</v>
      </c>
      <c r="F60" s="279">
        <v>94.369801663467697</v>
      </c>
      <c r="G60" s="169">
        <f>+AVERAGE(C578:C589)</f>
        <v>96.243685289851456</v>
      </c>
      <c r="H60" s="172">
        <v>5170</v>
      </c>
      <c r="I60" s="172">
        <f t="shared" si="1"/>
        <v>1.065979381443299</v>
      </c>
      <c r="J60" s="236">
        <f t="shared" si="2"/>
        <v>106.5979381443299</v>
      </c>
      <c r="K60" s="172">
        <f t="shared" si="8"/>
        <v>0.8475409836065575</v>
      </c>
      <c r="L60" s="236">
        <f t="shared" si="10"/>
        <v>1.124809354346721</v>
      </c>
      <c r="M60" s="236">
        <f t="shared" si="10"/>
        <v>1.0294243526642413</v>
      </c>
      <c r="N60" s="236">
        <f t="shared" si="10"/>
        <v>0.84754098360655739</v>
      </c>
      <c r="P60" s="236">
        <f t="shared" si="9"/>
        <v>77.566862778477045</v>
      </c>
      <c r="Q60" s="77">
        <f t="shared" si="6"/>
        <v>108.71463360594871</v>
      </c>
      <c r="R60" s="236">
        <v>88.265088505011704</v>
      </c>
      <c r="S60" s="236">
        <v>5323</v>
      </c>
      <c r="T60" s="236">
        <v>201.55799999999999</v>
      </c>
      <c r="U60" s="236">
        <f t="shared" si="7"/>
        <v>7.7273050401649073</v>
      </c>
      <c r="V60" s="236">
        <f t="shared" si="7"/>
        <v>-798</v>
      </c>
      <c r="W60" s="236">
        <f t="shared" si="7"/>
        <v>6.2909999999999968</v>
      </c>
    </row>
    <row r="61" spans="1:23">
      <c r="A61" s="170">
        <v>22981</v>
      </c>
      <c r="B61" s="171">
        <v>33.5</v>
      </c>
      <c r="C61" s="169">
        <f t="shared" si="0"/>
        <v>20.107037463112089</v>
      </c>
      <c r="D61" s="169"/>
      <c r="E61" s="167">
        <v>2007</v>
      </c>
      <c r="F61" s="279">
        <v>100</v>
      </c>
      <c r="G61" s="169">
        <f>+AVERAGE(C590:C601)</f>
        <v>100.00000000000001</v>
      </c>
      <c r="H61" s="172">
        <v>4850</v>
      </c>
      <c r="I61" s="172">
        <f>H61/$H$61</f>
        <v>1</v>
      </c>
      <c r="J61" s="236">
        <f t="shared" si="2"/>
        <v>100</v>
      </c>
      <c r="K61" s="172">
        <f t="shared" si="8"/>
        <v>0.93810444874274657</v>
      </c>
      <c r="L61" s="236">
        <f t="shared" si="10"/>
        <v>1.0596610169491525</v>
      </c>
      <c r="M61" s="236">
        <f t="shared" si="10"/>
        <v>1.0390292069431453</v>
      </c>
      <c r="N61" s="236">
        <f t="shared" si="10"/>
        <v>0.93810444874274657</v>
      </c>
      <c r="P61" s="236">
        <f t="shared" si="9"/>
        <v>91.983936921007256</v>
      </c>
      <c r="Q61" s="77">
        <f t="shared" si="6"/>
        <v>100.00000000000003</v>
      </c>
      <c r="R61" s="236">
        <v>95.44145873320538</v>
      </c>
      <c r="S61" s="236">
        <v>4732</v>
      </c>
      <c r="T61" s="236">
        <v>207.34399999999999</v>
      </c>
      <c r="U61" s="236">
        <f t="shared" si="7"/>
        <v>7.1763702281936759</v>
      </c>
      <c r="V61" s="236">
        <f t="shared" si="7"/>
        <v>-591</v>
      </c>
      <c r="W61" s="236">
        <f t="shared" si="7"/>
        <v>5.7860000000000014</v>
      </c>
    </row>
    <row r="62" spans="1:23">
      <c r="A62" s="170">
        <v>23012</v>
      </c>
      <c r="B62" s="171">
        <v>33.4</v>
      </c>
      <c r="C62" s="169">
        <f t="shared" si="0"/>
        <v>20.047016455759518</v>
      </c>
      <c r="D62" s="169"/>
      <c r="E62" s="167">
        <v>2008</v>
      </c>
      <c r="F62" s="279">
        <v>107.5</v>
      </c>
      <c r="G62" s="169">
        <f>+AVERAGE(C602:C613)</f>
        <v>106.39223728304906</v>
      </c>
      <c r="H62" s="172">
        <v>4930</v>
      </c>
      <c r="I62" s="172">
        <f t="shared" ref="I62:I68" si="11">H62/$H$61</f>
        <v>1.0164948453608247</v>
      </c>
      <c r="J62" s="236">
        <f t="shared" si="2"/>
        <v>101.64948453608247</v>
      </c>
      <c r="K62" s="172">
        <f t="shared" si="8"/>
        <v>1.0164948453608247</v>
      </c>
      <c r="L62" s="236">
        <f t="shared" si="10"/>
        <v>1.075</v>
      </c>
      <c r="M62" s="236">
        <f t="shared" si="10"/>
        <v>1.0639223728304905</v>
      </c>
      <c r="N62" s="236">
        <f t="shared" si="10"/>
        <v>1.0164948453608247</v>
      </c>
      <c r="P62" s="236">
        <f t="shared" si="9"/>
        <v>100.60201003220941</v>
      </c>
      <c r="Q62" s="77">
        <f>+J62*(G62/F62)</f>
        <v>100.60201003220941</v>
      </c>
      <c r="R62" s="236">
        <v>105.13333333333334</v>
      </c>
      <c r="S62" s="236">
        <v>4892</v>
      </c>
      <c r="T62" s="236">
        <v>215.25399999999999</v>
      </c>
      <c r="U62" s="236">
        <f t="shared" si="7"/>
        <v>9.6918746001279601</v>
      </c>
      <c r="V62" s="236">
        <f t="shared" si="7"/>
        <v>160</v>
      </c>
      <c r="W62" s="236">
        <f t="shared" si="7"/>
        <v>7.9099999999999966</v>
      </c>
    </row>
    <row r="63" spans="1:23">
      <c r="A63" s="170">
        <v>23043</v>
      </c>
      <c r="B63" s="171">
        <v>33.4</v>
      </c>
      <c r="C63" s="169">
        <f t="shared" si="0"/>
        <v>20.047016455759518</v>
      </c>
      <c r="D63" s="169"/>
      <c r="E63" s="167">
        <v>2009</v>
      </c>
      <c r="F63" s="279">
        <v>109.5</v>
      </c>
      <c r="G63" s="169">
        <f>+AVERAGE(C614:C625)</f>
        <v>103.59625869054172</v>
      </c>
      <c r="H63" s="172">
        <v>4600</v>
      </c>
      <c r="I63" s="172">
        <f t="shared" si="11"/>
        <v>0.94845360824742264</v>
      </c>
      <c r="J63" s="236">
        <f t="shared" si="2"/>
        <v>94.845360824742258</v>
      </c>
      <c r="K63" s="172">
        <f t="shared" si="8"/>
        <v>0.93306288032454354</v>
      </c>
      <c r="L63" s="236">
        <f t="shared" si="10"/>
        <v>1.0186046511627906</v>
      </c>
      <c r="M63" s="236">
        <f t="shared" si="10"/>
        <v>0.9737200883832452</v>
      </c>
      <c r="N63" s="236">
        <f t="shared" si="10"/>
        <v>0.93306288032454365</v>
      </c>
      <c r="P63" s="236">
        <f t="shared" si="9"/>
        <v>89.194769458355765</v>
      </c>
      <c r="Q63" s="77">
        <f t="shared" si="6"/>
        <v>89.731730918701089</v>
      </c>
      <c r="R63" s="236">
        <v>107.85833333333335</v>
      </c>
      <c r="S63" s="236">
        <v>4654</v>
      </c>
      <c r="T63" s="236">
        <v>214.565</v>
      </c>
      <c r="U63" s="236">
        <f t="shared" si="7"/>
        <v>2.7250000000000085</v>
      </c>
      <c r="V63" s="236">
        <f t="shared" si="7"/>
        <v>-238</v>
      </c>
      <c r="W63" s="236">
        <f t="shared" si="7"/>
        <v>-0.68899999999999295</v>
      </c>
    </row>
    <row r="64" spans="1:23">
      <c r="A64" s="170">
        <v>23071</v>
      </c>
      <c r="B64" s="171">
        <v>33.299999999999997</v>
      </c>
      <c r="C64" s="169">
        <f t="shared" si="0"/>
        <v>19.98699544840694</v>
      </c>
      <c r="D64" s="169"/>
      <c r="E64" s="167">
        <v>2010</v>
      </c>
      <c r="F64" s="279">
        <v>117.4</v>
      </c>
      <c r="G64" s="169">
        <f>+AVERAGE(C626:C637)</f>
        <v>107.91276946931428</v>
      </c>
      <c r="H64" s="172">
        <v>4558</v>
      </c>
      <c r="I64" s="172">
        <f t="shared" si="11"/>
        <v>0.9397938144329897</v>
      </c>
      <c r="J64" s="236">
        <f t="shared" si="2"/>
        <v>93.979381443298976</v>
      </c>
      <c r="K64" s="172">
        <f t="shared" si="8"/>
        <v>0.99086956521739145</v>
      </c>
      <c r="L64" s="236">
        <f t="shared" si="10"/>
        <v>1.0721461187214611</v>
      </c>
      <c r="M64" s="236">
        <f t="shared" si="10"/>
        <v>1.0416666666666665</v>
      </c>
      <c r="N64" s="236">
        <f t="shared" si="10"/>
        <v>0.99086956521739133</v>
      </c>
      <c r="P64" s="236">
        <f t="shared" si="9"/>
        <v>96.270067957929044</v>
      </c>
      <c r="Q64" s="77">
        <f t="shared" si="6"/>
        <v>86.384798335259575</v>
      </c>
      <c r="R64" s="236">
        <v>112.87500000000001</v>
      </c>
      <c r="S64" s="236">
        <v>4574</v>
      </c>
      <c r="T64" s="236">
        <v>218.07599999999999</v>
      </c>
      <c r="U64" s="236">
        <f t="shared" si="7"/>
        <v>5.0166666666666657</v>
      </c>
      <c r="V64" s="236">
        <f t="shared" si="7"/>
        <v>-80</v>
      </c>
      <c r="W64" s="236">
        <f t="shared" si="7"/>
        <v>3.5109999999999957</v>
      </c>
    </row>
    <row r="65" spans="1:23">
      <c r="A65" s="170">
        <v>23102</v>
      </c>
      <c r="B65" s="171">
        <v>33.299999999999997</v>
      </c>
      <c r="C65" s="169">
        <f t="shared" si="0"/>
        <v>19.98699544840694</v>
      </c>
      <c r="D65" s="169"/>
      <c r="E65" s="167">
        <v>2011</v>
      </c>
      <c r="F65" s="279">
        <v>123.2</v>
      </c>
      <c r="G65" s="169">
        <f>+AVERAGE(C638:C649)</f>
        <v>114.35002250787778</v>
      </c>
      <c r="H65" s="172">
        <v>4478</v>
      </c>
      <c r="I65" s="172">
        <f t="shared" si="11"/>
        <v>0.92329896907216491</v>
      </c>
      <c r="J65" s="236">
        <f t="shared" si="2"/>
        <v>92.329896907216494</v>
      </c>
      <c r="K65" s="172">
        <f t="shared" si="8"/>
        <v>0.98244844229925399</v>
      </c>
      <c r="L65" s="236">
        <f t="shared" si="10"/>
        <v>1.049403747870528</v>
      </c>
      <c r="M65" s="236">
        <f t="shared" si="10"/>
        <v>1.0596523754345306</v>
      </c>
      <c r="N65" s="236">
        <f t="shared" si="10"/>
        <v>0.9824484422992541</v>
      </c>
      <c r="P65" s="236">
        <f t="shared" si="9"/>
        <v>99.204317474269274</v>
      </c>
      <c r="Q65" s="77">
        <f t="shared" si="6"/>
        <v>85.697449590018195</v>
      </c>
      <c r="R65" s="236">
        <v>122.19166666666666</v>
      </c>
      <c r="S65" s="236">
        <v>4440</v>
      </c>
      <c r="T65" s="236">
        <v>224.923</v>
      </c>
      <c r="U65" s="236">
        <f t="shared" si="7"/>
        <v>9.3166666666666487</v>
      </c>
      <c r="V65" s="236">
        <f t="shared" si="7"/>
        <v>-134</v>
      </c>
      <c r="W65" s="236">
        <f t="shared" si="7"/>
        <v>6.8470000000000084</v>
      </c>
    </row>
    <row r="66" spans="1:23">
      <c r="A66" s="170">
        <v>23132</v>
      </c>
      <c r="B66" s="171">
        <v>33.4</v>
      </c>
      <c r="C66" s="169">
        <f t="shared" si="0"/>
        <v>20.047016455759518</v>
      </c>
      <c r="D66" s="169"/>
      <c r="E66" s="167">
        <v>2012</v>
      </c>
      <c r="F66" s="279">
        <v>128.1</v>
      </c>
      <c r="G66" s="169">
        <f>+AVERAGE(C650:C661)</f>
        <v>116.56579802931026</v>
      </c>
      <c r="H66" s="172">
        <v>4224</v>
      </c>
      <c r="I66" s="172">
        <f t="shared" si="11"/>
        <v>0.87092783505154636</v>
      </c>
      <c r="J66" s="236">
        <f t="shared" si="2"/>
        <v>87.092783505154642</v>
      </c>
      <c r="K66" s="172">
        <f t="shared" si="8"/>
        <v>0.94327824921840109</v>
      </c>
      <c r="L66" s="236">
        <f t="shared" si="10"/>
        <v>1.0397727272727273</v>
      </c>
      <c r="M66" s="236">
        <f t="shared" si="10"/>
        <v>1.0193771323593734</v>
      </c>
      <c r="N66" s="236">
        <f t="shared" si="10"/>
        <v>0.94327824921840109</v>
      </c>
      <c r="P66" s="236">
        <f t="shared" si="9"/>
        <v>92.477543551977831</v>
      </c>
      <c r="Q66" s="77">
        <f t="shared" si="6"/>
        <v>79.250896267543325</v>
      </c>
      <c r="R66" s="236">
        <v>126.68333333333334</v>
      </c>
      <c r="S66" s="236">
        <v>4289</v>
      </c>
      <c r="T66" s="236">
        <v>229.596</v>
      </c>
      <c r="U66" s="236">
        <f t="shared" si="7"/>
        <v>4.4916666666666742</v>
      </c>
      <c r="V66" s="236">
        <f t="shared" si="7"/>
        <v>-151</v>
      </c>
      <c r="W66" s="236">
        <f t="shared" si="7"/>
        <v>4.6730000000000018</v>
      </c>
    </row>
    <row r="67" spans="1:23">
      <c r="A67" s="170">
        <v>23163</v>
      </c>
      <c r="B67" s="171">
        <v>33.5</v>
      </c>
      <c r="C67" s="169">
        <f t="shared" si="0"/>
        <v>20.107037463112089</v>
      </c>
      <c r="D67" s="169"/>
      <c r="E67" s="167">
        <v>2013</v>
      </c>
      <c r="F67" s="279">
        <v>132.9</v>
      </c>
      <c r="G67" s="169">
        <f>+AVERAGE(C662:C673)</f>
        <v>118.01630570699746</v>
      </c>
      <c r="H67" s="172">
        <v>4585</v>
      </c>
      <c r="I67" s="172">
        <f t="shared" si="11"/>
        <v>0.94536082474226801</v>
      </c>
      <c r="J67" s="236">
        <f t="shared" si="2"/>
        <v>94.536082474226802</v>
      </c>
      <c r="K67" s="172">
        <f t="shared" si="8"/>
        <v>1.0854640151515151</v>
      </c>
      <c r="L67" s="236">
        <f t="shared" si="10"/>
        <v>1.0374707259953162</v>
      </c>
      <c r="M67" s="236">
        <f t="shared" si="10"/>
        <v>1.0124436816133877</v>
      </c>
      <c r="N67" s="236">
        <f t="shared" si="10"/>
        <v>1.0854640151515151</v>
      </c>
      <c r="P67" s="236">
        <f t="shared" si="9"/>
        <v>105.92792222686884</v>
      </c>
      <c r="Q67" s="77">
        <f t="shared" si="6"/>
        <v>83.948827762379793</v>
      </c>
      <c r="R67" s="236">
        <v>130.08333333333334</v>
      </c>
      <c r="S67" s="236">
        <v>4524</v>
      </c>
      <c r="T67" s="236">
        <v>232.964</v>
      </c>
      <c r="U67" s="236">
        <f t="shared" si="7"/>
        <v>3.4000000000000057</v>
      </c>
      <c r="V67" s="236">
        <f t="shared" si="7"/>
        <v>235</v>
      </c>
      <c r="W67" s="236">
        <f t="shared" si="7"/>
        <v>3.367999999999995</v>
      </c>
    </row>
    <row r="68" spans="1:23">
      <c r="A68" s="170">
        <v>23193</v>
      </c>
      <c r="B68" s="171">
        <v>33.4</v>
      </c>
      <c r="C68" s="169">
        <f t="shared" si="0"/>
        <v>20.047016455759518</v>
      </c>
      <c r="D68" s="169"/>
      <c r="E68" s="167">
        <v>2014</v>
      </c>
      <c r="F68" s="279">
        <v>138.5</v>
      </c>
      <c r="G68" s="169">
        <f>+AVERAGE(C674:C685)</f>
        <v>120.23708297904265</v>
      </c>
      <c r="H68" s="172">
        <v>4629</v>
      </c>
      <c r="I68" s="172">
        <f t="shared" si="11"/>
        <v>0.95443298969072166</v>
      </c>
      <c r="J68" s="236">
        <f t="shared" si="2"/>
        <v>95.44329896907216</v>
      </c>
      <c r="K68" s="172">
        <f t="shared" si="8"/>
        <v>1.0095965103598692</v>
      </c>
      <c r="L68" s="236">
        <f t="shared" si="10"/>
        <v>1.0421369450714824</v>
      </c>
      <c r="M68" s="236">
        <f t="shared" si="10"/>
        <v>1.0188175460902733</v>
      </c>
      <c r="N68" s="236">
        <f t="shared" si="10"/>
        <v>1.0095965103598692</v>
      </c>
      <c r="P68" s="236">
        <f>+N68*(M68/L68)*100</f>
        <v>98.70052530913695</v>
      </c>
      <c r="Q68" s="77">
        <f t="shared" si="6"/>
        <v>82.857933992331454</v>
      </c>
      <c r="R68" s="236">
        <v>136.625</v>
      </c>
      <c r="S68" s="236">
        <v>4630</v>
      </c>
      <c r="U68" s="236">
        <f t="shared" si="7"/>
        <v>6.5416666666666572</v>
      </c>
      <c r="V68" s="236">
        <f t="shared" si="7"/>
        <v>106</v>
      </c>
      <c r="W68" s="236">
        <f t="shared" si="7"/>
        <v>-232.964</v>
      </c>
    </row>
    <row r="69" spans="1:23">
      <c r="A69" s="170">
        <v>23224</v>
      </c>
      <c r="B69" s="171">
        <v>33.4</v>
      </c>
      <c r="C69" s="169">
        <f t="shared" si="0"/>
        <v>20.047016455759518</v>
      </c>
      <c r="D69" s="169"/>
    </row>
    <row r="70" spans="1:23">
      <c r="A70" s="170">
        <v>23255</v>
      </c>
      <c r="B70" s="171">
        <v>33.4</v>
      </c>
      <c r="C70" s="169">
        <f t="shared" si="0"/>
        <v>20.047016455759518</v>
      </c>
      <c r="D70" s="169"/>
    </row>
    <row r="71" spans="1:23">
      <c r="A71" s="170">
        <v>23285</v>
      </c>
      <c r="B71" s="171">
        <v>33.5</v>
      </c>
      <c r="C71" s="169">
        <f t="shared" si="0"/>
        <v>20.107037463112089</v>
      </c>
      <c r="D71" s="169"/>
    </row>
    <row r="72" spans="1:23">
      <c r="A72" s="170">
        <v>23316</v>
      </c>
      <c r="B72" s="171">
        <v>33.5</v>
      </c>
      <c r="C72" s="169">
        <f t="shared" si="0"/>
        <v>20.107037463112089</v>
      </c>
      <c r="D72" s="169"/>
    </row>
    <row r="73" spans="1:23">
      <c r="A73" s="170">
        <v>23346</v>
      </c>
      <c r="B73" s="171">
        <v>33.4</v>
      </c>
      <c r="C73" s="169">
        <f t="shared" si="0"/>
        <v>20.047016455759518</v>
      </c>
      <c r="D73" s="169"/>
    </row>
    <row r="74" spans="1:23">
      <c r="A74" s="170">
        <v>23377</v>
      </c>
      <c r="B74" s="171">
        <v>33.5</v>
      </c>
      <c r="C74" s="169">
        <f t="shared" si="0"/>
        <v>20.107037463112089</v>
      </c>
      <c r="D74" s="169"/>
    </row>
    <row r="75" spans="1:23">
      <c r="A75" s="170">
        <v>23408</v>
      </c>
      <c r="B75" s="171">
        <v>33.5</v>
      </c>
      <c r="C75" s="169">
        <f t="shared" si="0"/>
        <v>20.107037463112089</v>
      </c>
      <c r="D75" s="169"/>
    </row>
    <row r="76" spans="1:23">
      <c r="A76" s="170">
        <v>23437</v>
      </c>
      <c r="B76" s="171">
        <v>33.4</v>
      </c>
      <c r="C76" s="169">
        <f t="shared" si="0"/>
        <v>20.047016455759518</v>
      </c>
      <c r="D76" s="169"/>
    </row>
    <row r="77" spans="1:23">
      <c r="A77" s="170">
        <v>23468</v>
      </c>
      <c r="B77" s="171">
        <v>33.5</v>
      </c>
      <c r="C77" s="169">
        <f t="shared" si="0"/>
        <v>20.107037463112089</v>
      </c>
      <c r="D77" s="169"/>
    </row>
    <row r="78" spans="1:23">
      <c r="A78" s="170">
        <v>23498</v>
      </c>
      <c r="B78" s="171">
        <v>33.5</v>
      </c>
      <c r="C78" s="169">
        <f t="shared" ref="C78:C141" si="12">+B78/$C$12*100</f>
        <v>20.107037463112089</v>
      </c>
      <c r="D78" s="169"/>
    </row>
    <row r="79" spans="1:23">
      <c r="A79" s="170">
        <v>23529</v>
      </c>
      <c r="B79" s="171">
        <v>33.5</v>
      </c>
      <c r="C79" s="169">
        <f t="shared" si="12"/>
        <v>20.107037463112089</v>
      </c>
      <c r="D79" s="169"/>
    </row>
    <row r="80" spans="1:23">
      <c r="A80" s="170">
        <v>23559</v>
      </c>
      <c r="B80" s="171">
        <v>33.5</v>
      </c>
      <c r="C80" s="169">
        <f t="shared" si="12"/>
        <v>20.107037463112089</v>
      </c>
      <c r="D80" s="169"/>
    </row>
    <row r="81" spans="1:4">
      <c r="A81" s="170">
        <v>23590</v>
      </c>
      <c r="B81" s="171">
        <v>33.6</v>
      </c>
      <c r="C81" s="169">
        <f t="shared" si="12"/>
        <v>20.167058470464667</v>
      </c>
      <c r="D81" s="169"/>
    </row>
    <row r="82" spans="1:4">
      <c r="A82" s="170">
        <v>23621</v>
      </c>
      <c r="B82" s="171">
        <v>33.6</v>
      </c>
      <c r="C82" s="169">
        <f t="shared" si="12"/>
        <v>20.167058470464667</v>
      </c>
      <c r="D82" s="169"/>
    </row>
    <row r="83" spans="1:4">
      <c r="A83" s="170">
        <v>23651</v>
      </c>
      <c r="B83" s="171">
        <v>33.6</v>
      </c>
      <c r="C83" s="169">
        <f t="shared" si="12"/>
        <v>20.167058470464667</v>
      </c>
      <c r="D83" s="169"/>
    </row>
    <row r="84" spans="1:4">
      <c r="A84" s="170">
        <v>23682</v>
      </c>
      <c r="B84" s="171">
        <v>33.6</v>
      </c>
      <c r="C84" s="169">
        <f t="shared" si="12"/>
        <v>20.167058470464667</v>
      </c>
      <c r="D84" s="169"/>
    </row>
    <row r="85" spans="1:4">
      <c r="A85" s="170">
        <v>23712</v>
      </c>
      <c r="B85" s="171">
        <v>33.6</v>
      </c>
      <c r="C85" s="169">
        <f t="shared" si="12"/>
        <v>20.167058470464667</v>
      </c>
      <c r="D85" s="169"/>
    </row>
    <row r="86" spans="1:4">
      <c r="A86" s="170">
        <v>23743</v>
      </c>
      <c r="B86" s="171">
        <v>33.6</v>
      </c>
      <c r="C86" s="169">
        <f t="shared" si="12"/>
        <v>20.167058470464667</v>
      </c>
      <c r="D86" s="169"/>
    </row>
    <row r="87" spans="1:4">
      <c r="A87" s="170">
        <v>23774</v>
      </c>
      <c r="B87" s="171">
        <v>33.700000000000003</v>
      </c>
      <c r="C87" s="169">
        <f t="shared" si="12"/>
        <v>20.227079477817238</v>
      </c>
      <c r="D87" s="169"/>
    </row>
    <row r="88" spans="1:4">
      <c r="A88" s="170">
        <v>23802</v>
      </c>
      <c r="B88" s="171">
        <v>33.700000000000003</v>
      </c>
      <c r="C88" s="169">
        <f t="shared" si="12"/>
        <v>20.227079477817238</v>
      </c>
      <c r="D88" s="169"/>
    </row>
    <row r="89" spans="1:4">
      <c r="A89" s="170">
        <v>23833</v>
      </c>
      <c r="B89" s="171">
        <v>34</v>
      </c>
      <c r="C89" s="169">
        <f t="shared" si="12"/>
        <v>20.407142499874958</v>
      </c>
      <c r="D89" s="169"/>
    </row>
    <row r="90" spans="1:4">
      <c r="A90" s="170">
        <v>23863</v>
      </c>
      <c r="B90" s="171">
        <v>34.1</v>
      </c>
      <c r="C90" s="169">
        <f t="shared" si="12"/>
        <v>20.467163507227532</v>
      </c>
      <c r="D90" s="169"/>
    </row>
    <row r="91" spans="1:4">
      <c r="A91" s="170">
        <v>23894</v>
      </c>
      <c r="B91" s="171">
        <v>34.200000000000003</v>
      </c>
      <c r="C91" s="169">
        <f t="shared" si="12"/>
        <v>20.527184514580107</v>
      </c>
      <c r="D91" s="169"/>
    </row>
    <row r="92" spans="1:4">
      <c r="A92" s="170">
        <v>23924</v>
      </c>
      <c r="B92" s="171">
        <v>34.1</v>
      </c>
      <c r="C92" s="169">
        <f t="shared" si="12"/>
        <v>20.467163507227532</v>
      </c>
      <c r="D92" s="169"/>
    </row>
    <row r="93" spans="1:4">
      <c r="A93" s="170">
        <v>23955</v>
      </c>
      <c r="B93" s="171">
        <v>34.200000000000003</v>
      </c>
      <c r="C93" s="169">
        <f t="shared" si="12"/>
        <v>20.527184514580107</v>
      </c>
      <c r="D93" s="169"/>
    </row>
    <row r="94" spans="1:4">
      <c r="A94" s="170">
        <v>23986</v>
      </c>
      <c r="B94" s="171">
        <v>34.299999999999997</v>
      </c>
      <c r="C94" s="169">
        <f t="shared" si="12"/>
        <v>20.587205521932677</v>
      </c>
      <c r="D94" s="169"/>
    </row>
    <row r="95" spans="1:4">
      <c r="A95" s="170">
        <v>24016</v>
      </c>
      <c r="B95" s="171">
        <v>34.4</v>
      </c>
      <c r="C95" s="169">
        <f t="shared" si="12"/>
        <v>20.647226529285252</v>
      </c>
      <c r="D95" s="169"/>
    </row>
    <row r="96" spans="1:4">
      <c r="A96" s="170">
        <v>24047</v>
      </c>
      <c r="B96" s="171">
        <v>34.5</v>
      </c>
      <c r="C96" s="169">
        <f t="shared" si="12"/>
        <v>20.707247536637823</v>
      </c>
      <c r="D96" s="169"/>
    </row>
    <row r="97" spans="1:4">
      <c r="A97" s="170">
        <v>24077</v>
      </c>
      <c r="B97" s="171">
        <v>34.700000000000003</v>
      </c>
      <c r="C97" s="169">
        <f t="shared" si="12"/>
        <v>20.827289551342972</v>
      </c>
      <c r="D97" s="169"/>
    </row>
    <row r="98" spans="1:4">
      <c r="A98" s="170">
        <v>24108</v>
      </c>
      <c r="B98" s="171">
        <v>34.700000000000003</v>
      </c>
      <c r="C98" s="169">
        <f t="shared" si="12"/>
        <v>20.827289551342972</v>
      </c>
      <c r="D98" s="169"/>
    </row>
    <row r="99" spans="1:4">
      <c r="A99" s="170">
        <v>24139</v>
      </c>
      <c r="B99" s="171">
        <v>35</v>
      </c>
      <c r="C99" s="169">
        <f t="shared" si="12"/>
        <v>21.007352573400691</v>
      </c>
      <c r="D99" s="169"/>
    </row>
    <row r="100" spans="1:4">
      <c r="A100" s="170">
        <v>24167</v>
      </c>
      <c r="B100" s="171">
        <v>35</v>
      </c>
      <c r="C100" s="169">
        <f t="shared" si="12"/>
        <v>21.007352573400691</v>
      </c>
      <c r="D100" s="169"/>
    </row>
    <row r="101" spans="1:4">
      <c r="A101" s="170">
        <v>24198</v>
      </c>
      <c r="B101" s="171">
        <v>35.1</v>
      </c>
      <c r="C101" s="169">
        <f t="shared" si="12"/>
        <v>21.067373580753266</v>
      </c>
      <c r="D101" s="169"/>
    </row>
    <row r="102" spans="1:4">
      <c r="A102" s="170">
        <v>24228</v>
      </c>
      <c r="B102" s="171">
        <v>35.1</v>
      </c>
      <c r="C102" s="169">
        <f t="shared" si="12"/>
        <v>21.067373580753266</v>
      </c>
      <c r="D102" s="169"/>
    </row>
    <row r="103" spans="1:4">
      <c r="A103" s="170">
        <v>24259</v>
      </c>
      <c r="B103" s="171">
        <v>34.9</v>
      </c>
      <c r="C103" s="169">
        <f t="shared" si="12"/>
        <v>20.947331566048117</v>
      </c>
      <c r="D103" s="169"/>
    </row>
    <row r="104" spans="1:4">
      <c r="A104" s="170">
        <v>24289</v>
      </c>
      <c r="B104" s="171">
        <v>35.1</v>
      </c>
      <c r="C104" s="169">
        <f t="shared" si="12"/>
        <v>21.067373580753266</v>
      </c>
      <c r="D104" s="169"/>
    </row>
    <row r="105" spans="1:4">
      <c r="A105" s="170">
        <v>24320</v>
      </c>
      <c r="B105" s="171">
        <v>35.4</v>
      </c>
      <c r="C105" s="169">
        <f t="shared" si="12"/>
        <v>21.247436602810986</v>
      </c>
      <c r="D105" s="169"/>
    </row>
    <row r="106" spans="1:4">
      <c r="A106" s="170">
        <v>24351</v>
      </c>
      <c r="B106" s="171">
        <v>35.6</v>
      </c>
      <c r="C106" s="169">
        <f t="shared" si="12"/>
        <v>21.367478617516134</v>
      </c>
      <c r="D106" s="169"/>
    </row>
    <row r="107" spans="1:4">
      <c r="A107" s="170">
        <v>24381</v>
      </c>
      <c r="B107" s="171">
        <v>35.5</v>
      </c>
      <c r="C107" s="169">
        <f t="shared" si="12"/>
        <v>21.307457610163556</v>
      </c>
      <c r="D107" s="169"/>
    </row>
    <row r="108" spans="1:4">
      <c r="A108" s="170">
        <v>24412</v>
      </c>
      <c r="B108" s="171">
        <v>35.5</v>
      </c>
      <c r="C108" s="169">
        <f t="shared" si="12"/>
        <v>21.307457610163556</v>
      </c>
      <c r="D108" s="169"/>
    </row>
    <row r="109" spans="1:4">
      <c r="A109" s="170">
        <v>24442</v>
      </c>
      <c r="B109" s="171">
        <v>35.4</v>
      </c>
      <c r="C109" s="169">
        <f t="shared" si="12"/>
        <v>21.247436602810986</v>
      </c>
      <c r="D109" s="169"/>
    </row>
    <row r="110" spans="1:4">
      <c r="A110" s="170">
        <v>24473</v>
      </c>
      <c r="B110" s="171">
        <v>35.4</v>
      </c>
      <c r="C110" s="169">
        <f t="shared" si="12"/>
        <v>21.247436602810986</v>
      </c>
      <c r="D110" s="169"/>
    </row>
    <row r="111" spans="1:4">
      <c r="A111" s="170">
        <v>24504</v>
      </c>
      <c r="B111" s="171">
        <v>35.299999999999997</v>
      </c>
      <c r="C111" s="169">
        <f t="shared" si="12"/>
        <v>21.187415595458411</v>
      </c>
      <c r="D111" s="169"/>
    </row>
    <row r="112" spans="1:4">
      <c r="A112" s="170">
        <v>24532</v>
      </c>
      <c r="B112" s="171">
        <v>35.299999999999997</v>
      </c>
      <c r="C112" s="169">
        <f t="shared" si="12"/>
        <v>21.187415595458411</v>
      </c>
      <c r="D112" s="169"/>
    </row>
    <row r="113" spans="1:4">
      <c r="A113" s="170">
        <v>24563</v>
      </c>
      <c r="B113" s="171">
        <v>35.299999999999997</v>
      </c>
      <c r="C113" s="169">
        <f t="shared" si="12"/>
        <v>21.187415595458411</v>
      </c>
      <c r="D113" s="169"/>
    </row>
    <row r="114" spans="1:4">
      <c r="A114" s="170">
        <v>24593</v>
      </c>
      <c r="B114" s="171">
        <v>35.4</v>
      </c>
      <c r="C114" s="169">
        <f t="shared" si="12"/>
        <v>21.247436602810986</v>
      </c>
      <c r="D114" s="169"/>
    </row>
    <row r="115" spans="1:4">
      <c r="A115" s="170">
        <v>24624</v>
      </c>
      <c r="B115" s="171">
        <v>35.700000000000003</v>
      </c>
      <c r="C115" s="169">
        <f t="shared" si="12"/>
        <v>21.427499624868705</v>
      </c>
      <c r="D115" s="169"/>
    </row>
    <row r="116" spans="1:4">
      <c r="A116" s="170">
        <v>24654</v>
      </c>
      <c r="B116" s="171">
        <v>35.700000000000003</v>
      </c>
      <c r="C116" s="169">
        <f t="shared" si="12"/>
        <v>21.427499624868705</v>
      </c>
      <c r="D116" s="169"/>
    </row>
    <row r="117" spans="1:4">
      <c r="A117" s="170">
        <v>24685</v>
      </c>
      <c r="B117" s="171">
        <v>35.799999999999997</v>
      </c>
      <c r="C117" s="169">
        <f t="shared" si="12"/>
        <v>21.487520632221276</v>
      </c>
      <c r="D117" s="169"/>
    </row>
    <row r="118" spans="1:4">
      <c r="A118" s="170">
        <v>24716</v>
      </c>
      <c r="B118" s="171">
        <v>35.799999999999997</v>
      </c>
      <c r="C118" s="169">
        <f t="shared" si="12"/>
        <v>21.487520632221276</v>
      </c>
      <c r="D118" s="169"/>
    </row>
    <row r="119" spans="1:4">
      <c r="A119" s="170">
        <v>24746</v>
      </c>
      <c r="B119" s="171">
        <v>35.9</v>
      </c>
      <c r="C119" s="169">
        <f t="shared" si="12"/>
        <v>21.547541639573854</v>
      </c>
      <c r="D119" s="169"/>
    </row>
    <row r="120" spans="1:4">
      <c r="A120" s="170">
        <v>24777</v>
      </c>
      <c r="B120" s="171">
        <v>35.9</v>
      </c>
      <c r="C120" s="169">
        <f t="shared" si="12"/>
        <v>21.547541639573854</v>
      </c>
      <c r="D120" s="169"/>
    </row>
    <row r="121" spans="1:4">
      <c r="A121" s="170">
        <v>24807</v>
      </c>
      <c r="B121" s="171">
        <v>36</v>
      </c>
      <c r="C121" s="169">
        <f t="shared" si="12"/>
        <v>21.607562646926425</v>
      </c>
      <c r="D121" s="169"/>
    </row>
    <row r="122" spans="1:4">
      <c r="A122" s="170">
        <v>24838</v>
      </c>
      <c r="B122" s="171">
        <v>36.1</v>
      </c>
      <c r="C122" s="169">
        <f t="shared" si="12"/>
        <v>21.667583654278999</v>
      </c>
      <c r="D122" s="169"/>
    </row>
    <row r="123" spans="1:4">
      <c r="A123" s="170">
        <v>24869</v>
      </c>
      <c r="B123" s="171">
        <v>36.200000000000003</v>
      </c>
      <c r="C123" s="169">
        <f t="shared" si="12"/>
        <v>21.727604661631574</v>
      </c>
      <c r="D123" s="169"/>
    </row>
    <row r="124" spans="1:4">
      <c r="A124" s="170">
        <v>24898</v>
      </c>
      <c r="B124" s="171">
        <v>36.299999999999997</v>
      </c>
      <c r="C124" s="169">
        <f t="shared" si="12"/>
        <v>21.787625668984145</v>
      </c>
      <c r="D124" s="169"/>
    </row>
    <row r="125" spans="1:4">
      <c r="A125" s="170">
        <v>24929</v>
      </c>
      <c r="B125" s="171">
        <v>36.5</v>
      </c>
      <c r="C125" s="169">
        <f t="shared" si="12"/>
        <v>21.907667683689294</v>
      </c>
      <c r="D125" s="169"/>
    </row>
    <row r="126" spans="1:4">
      <c r="A126" s="170">
        <v>24959</v>
      </c>
      <c r="B126" s="171">
        <v>36.5</v>
      </c>
      <c r="C126" s="169">
        <f t="shared" si="12"/>
        <v>21.907667683689294</v>
      </c>
      <c r="D126" s="169"/>
    </row>
    <row r="127" spans="1:4">
      <c r="A127" s="170">
        <v>24990</v>
      </c>
      <c r="B127" s="171">
        <v>36.6</v>
      </c>
      <c r="C127" s="169">
        <f t="shared" si="12"/>
        <v>21.967688691041868</v>
      </c>
      <c r="D127" s="169"/>
    </row>
    <row r="128" spans="1:4">
      <c r="A128" s="170">
        <v>25020</v>
      </c>
      <c r="B128" s="171">
        <v>36.700000000000003</v>
      </c>
      <c r="C128" s="169">
        <f t="shared" si="12"/>
        <v>22.027709698394439</v>
      </c>
      <c r="D128" s="169"/>
    </row>
    <row r="129" spans="1:4">
      <c r="A129" s="170">
        <v>25051</v>
      </c>
      <c r="B129" s="171">
        <v>36.799999999999997</v>
      </c>
      <c r="C129" s="169">
        <f t="shared" si="12"/>
        <v>22.08773070574701</v>
      </c>
      <c r="D129" s="169"/>
    </row>
    <row r="130" spans="1:4">
      <c r="A130" s="170">
        <v>25082</v>
      </c>
      <c r="B130" s="171">
        <v>37</v>
      </c>
      <c r="C130" s="169">
        <f t="shared" si="12"/>
        <v>22.207772720452159</v>
      </c>
      <c r="D130" s="169"/>
    </row>
    <row r="131" spans="1:4">
      <c r="A131" s="170">
        <v>25112</v>
      </c>
      <c r="B131" s="171">
        <v>37</v>
      </c>
      <c r="C131" s="169">
        <f t="shared" si="12"/>
        <v>22.207772720452159</v>
      </c>
      <c r="D131" s="169"/>
    </row>
    <row r="132" spans="1:4">
      <c r="A132" s="170">
        <v>25143</v>
      </c>
      <c r="B132" s="171">
        <v>37.1</v>
      </c>
      <c r="C132" s="169">
        <f t="shared" si="12"/>
        <v>22.267793727804737</v>
      </c>
      <c r="D132" s="169"/>
    </row>
    <row r="133" spans="1:4">
      <c r="A133" s="170">
        <v>25173</v>
      </c>
      <c r="B133" s="171">
        <v>37.1</v>
      </c>
      <c r="C133" s="169">
        <f t="shared" si="12"/>
        <v>22.267793727804737</v>
      </c>
      <c r="D133" s="169"/>
    </row>
    <row r="134" spans="1:4">
      <c r="A134" s="170">
        <v>25204</v>
      </c>
      <c r="B134" s="171">
        <v>37.200000000000003</v>
      </c>
      <c r="C134" s="169">
        <f t="shared" si="12"/>
        <v>22.327814735157308</v>
      </c>
      <c r="D134" s="169"/>
    </row>
    <row r="135" spans="1:4">
      <c r="A135" s="170">
        <v>25235</v>
      </c>
      <c r="B135" s="171">
        <v>37.200000000000003</v>
      </c>
      <c r="C135" s="169">
        <f t="shared" si="12"/>
        <v>22.327814735157308</v>
      </c>
      <c r="D135" s="169"/>
    </row>
    <row r="136" spans="1:4">
      <c r="A136" s="170">
        <v>25263</v>
      </c>
      <c r="B136" s="171">
        <v>37.4</v>
      </c>
      <c r="C136" s="169">
        <f t="shared" si="12"/>
        <v>22.447856749862453</v>
      </c>
      <c r="D136" s="169"/>
    </row>
    <row r="137" spans="1:4">
      <c r="A137" s="170">
        <v>25294</v>
      </c>
      <c r="B137" s="171">
        <v>37.6</v>
      </c>
      <c r="C137" s="169">
        <f t="shared" si="12"/>
        <v>22.567898764567602</v>
      </c>
      <c r="D137" s="169"/>
    </row>
    <row r="138" spans="1:4">
      <c r="A138" s="170">
        <v>25324</v>
      </c>
      <c r="B138" s="171">
        <v>37.799999999999997</v>
      </c>
      <c r="C138" s="169">
        <f t="shared" si="12"/>
        <v>22.687940779272743</v>
      </c>
      <c r="D138" s="169"/>
    </row>
    <row r="139" spans="1:4">
      <c r="A139" s="170">
        <v>25355</v>
      </c>
      <c r="B139" s="171">
        <v>38</v>
      </c>
      <c r="C139" s="169">
        <f t="shared" si="12"/>
        <v>22.807982793977892</v>
      </c>
      <c r="D139" s="169"/>
    </row>
    <row r="140" spans="1:4">
      <c r="A140" s="170">
        <v>25385</v>
      </c>
      <c r="B140" s="171">
        <v>38.1</v>
      </c>
      <c r="C140" s="169">
        <f t="shared" si="12"/>
        <v>22.86800380133047</v>
      </c>
      <c r="D140" s="169"/>
    </row>
    <row r="141" spans="1:4">
      <c r="A141" s="170">
        <v>25416</v>
      </c>
      <c r="B141" s="171">
        <v>38.200000000000003</v>
      </c>
      <c r="C141" s="169">
        <f t="shared" si="12"/>
        <v>22.928024808683041</v>
      </c>
      <c r="D141" s="169"/>
    </row>
    <row r="142" spans="1:4">
      <c r="A142" s="170">
        <v>25447</v>
      </c>
      <c r="B142" s="171">
        <v>38.299999999999997</v>
      </c>
      <c r="C142" s="169">
        <f t="shared" ref="C142:C205" si="13">+B142/$C$12*100</f>
        <v>22.988045816035612</v>
      </c>
      <c r="D142" s="169"/>
    </row>
    <row r="143" spans="1:4">
      <c r="A143" s="170">
        <v>25477</v>
      </c>
      <c r="B143" s="171">
        <v>38.5</v>
      </c>
      <c r="C143" s="169">
        <f t="shared" si="13"/>
        <v>23.108087830740761</v>
      </c>
      <c r="D143" s="169"/>
    </row>
    <row r="144" spans="1:4">
      <c r="A144" s="170">
        <v>25508</v>
      </c>
      <c r="B144" s="171">
        <v>38.799999999999997</v>
      </c>
      <c r="C144" s="169">
        <f t="shared" si="13"/>
        <v>23.288150852798481</v>
      </c>
      <c r="D144" s="169"/>
    </row>
    <row r="145" spans="1:4">
      <c r="A145" s="170">
        <v>25538</v>
      </c>
      <c r="B145" s="171">
        <v>38.9</v>
      </c>
      <c r="C145" s="169">
        <f t="shared" si="13"/>
        <v>23.348171860151055</v>
      </c>
      <c r="D145" s="169"/>
    </row>
    <row r="146" spans="1:4">
      <c r="A146" s="170">
        <v>25569</v>
      </c>
      <c r="B146" s="171">
        <v>39.1</v>
      </c>
      <c r="C146" s="169">
        <f t="shared" si="13"/>
        <v>23.468213874856204</v>
      </c>
      <c r="D146" s="169"/>
    </row>
    <row r="147" spans="1:4">
      <c r="A147" s="170">
        <v>25600</v>
      </c>
      <c r="B147" s="171">
        <v>39</v>
      </c>
      <c r="C147" s="169">
        <f t="shared" si="13"/>
        <v>23.408192867503626</v>
      </c>
      <c r="D147" s="169"/>
    </row>
    <row r="148" spans="1:4">
      <c r="A148" s="170">
        <v>25628</v>
      </c>
      <c r="B148" s="171">
        <v>39.1</v>
      </c>
      <c r="C148" s="169">
        <f t="shared" si="13"/>
        <v>23.468213874856204</v>
      </c>
      <c r="D148" s="169"/>
    </row>
    <row r="149" spans="1:4">
      <c r="A149" s="170">
        <v>25659</v>
      </c>
      <c r="B149" s="171">
        <v>39.1</v>
      </c>
      <c r="C149" s="169">
        <f t="shared" si="13"/>
        <v>23.468213874856204</v>
      </c>
      <c r="D149" s="169"/>
    </row>
    <row r="150" spans="1:4">
      <c r="A150" s="170">
        <v>25689</v>
      </c>
      <c r="B150" s="171">
        <v>39.1</v>
      </c>
      <c r="C150" s="169">
        <f t="shared" si="13"/>
        <v>23.468213874856204</v>
      </c>
      <c r="D150" s="169"/>
    </row>
    <row r="151" spans="1:4">
      <c r="A151" s="170">
        <v>25720</v>
      </c>
      <c r="B151" s="171">
        <v>39.200000000000003</v>
      </c>
      <c r="C151" s="169">
        <f t="shared" si="13"/>
        <v>23.528234882208775</v>
      </c>
      <c r="D151" s="169"/>
    </row>
    <row r="152" spans="1:4">
      <c r="A152" s="170">
        <v>25750</v>
      </c>
      <c r="B152" s="171">
        <v>39.200000000000003</v>
      </c>
      <c r="C152" s="169">
        <f t="shared" si="13"/>
        <v>23.528234882208775</v>
      </c>
      <c r="D152" s="169"/>
    </row>
    <row r="153" spans="1:4">
      <c r="A153" s="170">
        <v>25781</v>
      </c>
      <c r="B153" s="171">
        <v>39.200000000000003</v>
      </c>
      <c r="C153" s="169">
        <f t="shared" si="13"/>
        <v>23.528234882208775</v>
      </c>
      <c r="D153" s="169"/>
    </row>
    <row r="154" spans="1:4">
      <c r="A154" s="170">
        <v>25812</v>
      </c>
      <c r="B154" s="171">
        <v>39.6</v>
      </c>
      <c r="C154" s="169">
        <f t="shared" si="13"/>
        <v>23.768318911619069</v>
      </c>
      <c r="D154" s="169"/>
    </row>
    <row r="155" spans="1:4">
      <c r="A155" s="170">
        <v>25842</v>
      </c>
      <c r="B155" s="171">
        <v>39.6</v>
      </c>
      <c r="C155" s="169">
        <f t="shared" si="13"/>
        <v>23.768318911619069</v>
      </c>
      <c r="D155" s="169"/>
    </row>
    <row r="156" spans="1:4">
      <c r="A156" s="170">
        <v>25873</v>
      </c>
      <c r="B156" s="171">
        <v>39.799999999999997</v>
      </c>
      <c r="C156" s="169">
        <f t="shared" si="13"/>
        <v>23.888360926324214</v>
      </c>
      <c r="D156" s="169"/>
    </row>
    <row r="157" spans="1:4">
      <c r="A157" s="170">
        <v>25903</v>
      </c>
      <c r="B157" s="171">
        <v>39.799999999999997</v>
      </c>
      <c r="C157" s="169">
        <f t="shared" si="13"/>
        <v>23.888360926324214</v>
      </c>
      <c r="D157" s="169"/>
    </row>
    <row r="158" spans="1:4">
      <c r="A158" s="170">
        <v>25934</v>
      </c>
      <c r="B158" s="171">
        <v>39.9</v>
      </c>
      <c r="C158" s="169">
        <f t="shared" si="13"/>
        <v>23.948381933676789</v>
      </c>
      <c r="D158" s="169"/>
    </row>
    <row r="159" spans="1:4">
      <c r="A159" s="170">
        <v>25965</v>
      </c>
      <c r="B159" s="171">
        <v>40.1</v>
      </c>
      <c r="C159" s="169">
        <f t="shared" si="13"/>
        <v>24.068423948381938</v>
      </c>
      <c r="D159" s="169"/>
    </row>
    <row r="160" spans="1:4">
      <c r="A160" s="170">
        <v>25993</v>
      </c>
      <c r="B160" s="171">
        <v>40.200000000000003</v>
      </c>
      <c r="C160" s="169">
        <f t="shared" si="13"/>
        <v>24.128444955734508</v>
      </c>
      <c r="D160" s="169"/>
    </row>
    <row r="161" spans="1:4">
      <c r="A161" s="170">
        <v>26024</v>
      </c>
      <c r="B161" s="171">
        <v>40.299999999999997</v>
      </c>
      <c r="C161" s="169">
        <f t="shared" si="13"/>
        <v>24.188465963087079</v>
      </c>
      <c r="D161" s="169"/>
    </row>
    <row r="162" spans="1:4">
      <c r="A162" s="170">
        <v>26054</v>
      </c>
      <c r="B162" s="171">
        <v>40.5</v>
      </c>
      <c r="C162" s="169">
        <f t="shared" si="13"/>
        <v>24.308507977792228</v>
      </c>
      <c r="D162" s="169"/>
    </row>
    <row r="163" spans="1:4">
      <c r="A163" s="170">
        <v>26085</v>
      </c>
      <c r="B163" s="171">
        <v>40.6</v>
      </c>
      <c r="C163" s="169">
        <f t="shared" si="13"/>
        <v>24.368528985144803</v>
      </c>
      <c r="D163" s="169"/>
    </row>
    <row r="164" spans="1:4">
      <c r="A164" s="170">
        <v>26115</v>
      </c>
      <c r="B164" s="171">
        <v>40.4</v>
      </c>
      <c r="C164" s="169">
        <f t="shared" si="13"/>
        <v>24.248486970439657</v>
      </c>
      <c r="D164" s="169"/>
    </row>
    <row r="165" spans="1:4">
      <c r="A165" s="170">
        <v>26146</v>
      </c>
      <c r="B165" s="171">
        <v>40.700000000000003</v>
      </c>
      <c r="C165" s="169">
        <f t="shared" si="13"/>
        <v>24.428549992497377</v>
      </c>
      <c r="D165" s="169"/>
    </row>
    <row r="166" spans="1:4">
      <c r="A166" s="170">
        <v>26177</v>
      </c>
      <c r="B166" s="171">
        <v>40.700000000000003</v>
      </c>
      <c r="C166" s="169">
        <f t="shared" si="13"/>
        <v>24.428549992497377</v>
      </c>
      <c r="D166" s="169"/>
    </row>
    <row r="167" spans="1:4">
      <c r="A167" s="170">
        <v>26207</v>
      </c>
      <c r="B167" s="171">
        <v>40.700000000000003</v>
      </c>
      <c r="C167" s="169">
        <f t="shared" si="13"/>
        <v>24.428549992497377</v>
      </c>
      <c r="D167" s="169"/>
    </row>
    <row r="168" spans="1:4">
      <c r="A168" s="170">
        <v>26238</v>
      </c>
      <c r="B168" s="171">
        <v>40.799999999999997</v>
      </c>
      <c r="C168" s="169">
        <f t="shared" si="13"/>
        <v>24.488570999849948</v>
      </c>
      <c r="D168" s="169"/>
    </row>
    <row r="169" spans="1:4">
      <c r="A169" s="170">
        <v>26268</v>
      </c>
      <c r="B169" s="171">
        <v>41.1</v>
      </c>
      <c r="C169" s="169">
        <f t="shared" si="13"/>
        <v>24.668634021907671</v>
      </c>
      <c r="D169" s="169"/>
    </row>
    <row r="170" spans="1:4">
      <c r="A170" s="170">
        <v>26299</v>
      </c>
      <c r="B170" s="171">
        <v>41</v>
      </c>
      <c r="C170" s="169">
        <f t="shared" si="13"/>
        <v>24.608613014555097</v>
      </c>
      <c r="D170" s="169"/>
    </row>
    <row r="171" spans="1:4">
      <c r="A171" s="170">
        <v>26330</v>
      </c>
      <c r="B171" s="171">
        <v>41.3</v>
      </c>
      <c r="C171" s="169">
        <f t="shared" si="13"/>
        <v>24.788676036612813</v>
      </c>
      <c r="D171" s="169"/>
    </row>
    <row r="172" spans="1:4">
      <c r="A172" s="170">
        <v>26359</v>
      </c>
      <c r="B172" s="171">
        <v>41.3</v>
      </c>
      <c r="C172" s="169">
        <f t="shared" si="13"/>
        <v>24.788676036612813</v>
      </c>
      <c r="D172" s="169"/>
    </row>
    <row r="173" spans="1:4">
      <c r="A173" s="170">
        <v>26390</v>
      </c>
      <c r="B173" s="171">
        <v>41.3</v>
      </c>
      <c r="C173" s="169">
        <f t="shared" si="13"/>
        <v>24.788676036612813</v>
      </c>
      <c r="D173" s="169"/>
    </row>
    <row r="174" spans="1:4">
      <c r="A174" s="170">
        <v>26420</v>
      </c>
      <c r="B174" s="171">
        <v>41.5</v>
      </c>
      <c r="C174" s="169">
        <f t="shared" si="13"/>
        <v>24.908718051317962</v>
      </c>
      <c r="D174" s="169"/>
    </row>
    <row r="175" spans="1:4">
      <c r="A175" s="170">
        <v>26451</v>
      </c>
      <c r="B175" s="171">
        <v>41.7</v>
      </c>
      <c r="C175" s="169">
        <f t="shared" si="13"/>
        <v>25.028760066023111</v>
      </c>
      <c r="D175" s="169"/>
    </row>
    <row r="176" spans="1:4">
      <c r="A176" s="170">
        <v>26481</v>
      </c>
      <c r="B176" s="171">
        <v>41.8</v>
      </c>
      <c r="C176" s="169">
        <f t="shared" si="13"/>
        <v>25.088781073375682</v>
      </c>
      <c r="D176" s="169"/>
    </row>
    <row r="177" spans="1:4">
      <c r="A177" s="170">
        <v>26512</v>
      </c>
      <c r="B177" s="171">
        <v>42</v>
      </c>
      <c r="C177" s="169">
        <f t="shared" si="13"/>
        <v>25.208823088080827</v>
      </c>
      <c r="D177" s="169"/>
    </row>
    <row r="178" spans="1:4">
      <c r="A178" s="170">
        <v>26543</v>
      </c>
      <c r="B178" s="171">
        <v>42.2</v>
      </c>
      <c r="C178" s="169">
        <f t="shared" si="13"/>
        <v>25.328865102785979</v>
      </c>
      <c r="D178" s="169"/>
    </row>
    <row r="179" spans="1:4">
      <c r="A179" s="170">
        <v>26573</v>
      </c>
      <c r="B179" s="171">
        <v>42</v>
      </c>
      <c r="C179" s="169">
        <f t="shared" si="13"/>
        <v>25.208823088080827</v>
      </c>
      <c r="D179" s="169"/>
    </row>
    <row r="180" spans="1:4">
      <c r="A180" s="170">
        <v>26604</v>
      </c>
      <c r="B180" s="171">
        <v>42.3</v>
      </c>
      <c r="C180" s="169">
        <f t="shared" si="13"/>
        <v>25.388886110138547</v>
      </c>
      <c r="D180" s="169"/>
    </row>
    <row r="181" spans="1:4">
      <c r="A181" s="170">
        <v>26634</v>
      </c>
      <c r="B181" s="171">
        <v>42.7</v>
      </c>
      <c r="C181" s="169">
        <f t="shared" si="13"/>
        <v>25.628970139548844</v>
      </c>
      <c r="D181" s="169"/>
    </row>
    <row r="182" spans="1:4">
      <c r="A182" s="170">
        <v>26665</v>
      </c>
      <c r="B182" s="171">
        <v>43</v>
      </c>
      <c r="C182" s="169">
        <f t="shared" si="13"/>
        <v>25.809033161606564</v>
      </c>
      <c r="D182" s="169"/>
    </row>
    <row r="183" spans="1:4">
      <c r="A183" s="170">
        <v>26696</v>
      </c>
      <c r="B183" s="171">
        <v>43.5</v>
      </c>
      <c r="C183" s="169">
        <f t="shared" si="13"/>
        <v>26.109138198369429</v>
      </c>
      <c r="D183" s="169"/>
    </row>
    <row r="184" spans="1:4">
      <c r="A184" s="170">
        <v>26724</v>
      </c>
      <c r="B184" s="171">
        <v>44.4</v>
      </c>
      <c r="C184" s="169">
        <f t="shared" si="13"/>
        <v>26.649327264542595</v>
      </c>
      <c r="D184" s="169"/>
    </row>
    <row r="185" spans="1:4">
      <c r="A185" s="170">
        <v>26755</v>
      </c>
      <c r="B185" s="171">
        <v>44.7</v>
      </c>
      <c r="C185" s="169">
        <f t="shared" si="13"/>
        <v>26.829390286600312</v>
      </c>
      <c r="D185" s="169"/>
    </row>
    <row r="186" spans="1:4">
      <c r="A186" s="170">
        <v>26785</v>
      </c>
      <c r="B186" s="171">
        <v>45</v>
      </c>
      <c r="C186" s="169">
        <f t="shared" si="13"/>
        <v>27.009453308658031</v>
      </c>
      <c r="D186" s="169"/>
    </row>
    <row r="187" spans="1:4">
      <c r="A187" s="170">
        <v>26816</v>
      </c>
      <c r="B187" s="171">
        <v>45.5</v>
      </c>
      <c r="C187" s="169">
        <f t="shared" si="13"/>
        <v>27.309558345420896</v>
      </c>
      <c r="D187" s="169"/>
    </row>
    <row r="188" spans="1:4">
      <c r="A188" s="170">
        <v>26846</v>
      </c>
      <c r="B188" s="171">
        <v>45.4</v>
      </c>
      <c r="C188" s="169">
        <f t="shared" si="13"/>
        <v>27.249537338068325</v>
      </c>
      <c r="D188" s="169"/>
    </row>
    <row r="189" spans="1:4">
      <c r="A189" s="170">
        <v>26877</v>
      </c>
      <c r="B189" s="171">
        <v>47</v>
      </c>
      <c r="C189" s="169">
        <f t="shared" si="13"/>
        <v>28.209873455709499</v>
      </c>
      <c r="D189" s="169"/>
    </row>
    <row r="190" spans="1:4">
      <c r="A190" s="170">
        <v>26908</v>
      </c>
      <c r="B190" s="171">
        <v>46.9</v>
      </c>
      <c r="C190" s="169">
        <f t="shared" si="13"/>
        <v>28.149852448356928</v>
      </c>
      <c r="D190" s="169"/>
    </row>
    <row r="191" spans="1:4">
      <c r="A191" s="170">
        <v>26938</v>
      </c>
      <c r="B191" s="171">
        <v>46.8</v>
      </c>
      <c r="C191" s="169">
        <f t="shared" si="13"/>
        <v>28.089831441004353</v>
      </c>
      <c r="D191" s="169"/>
    </row>
    <row r="192" spans="1:4">
      <c r="A192" s="170">
        <v>26969</v>
      </c>
      <c r="B192" s="171">
        <v>47.2</v>
      </c>
      <c r="C192" s="169">
        <f t="shared" si="13"/>
        <v>28.329915470414651</v>
      </c>
      <c r="D192" s="169"/>
    </row>
    <row r="193" spans="1:4">
      <c r="A193" s="170">
        <v>26999</v>
      </c>
      <c r="B193" s="171">
        <v>47.6</v>
      </c>
      <c r="C193" s="169">
        <f t="shared" si="13"/>
        <v>28.569999499824945</v>
      </c>
      <c r="D193" s="169"/>
    </row>
    <row r="194" spans="1:4">
      <c r="A194" s="170">
        <v>27030</v>
      </c>
      <c r="B194" s="171">
        <v>48.8</v>
      </c>
      <c r="C194" s="169">
        <f t="shared" si="13"/>
        <v>29.290251588055821</v>
      </c>
      <c r="D194" s="169"/>
    </row>
    <row r="195" spans="1:4">
      <c r="A195" s="170">
        <v>27061</v>
      </c>
      <c r="B195" s="171">
        <v>49.7</v>
      </c>
      <c r="C195" s="169">
        <f t="shared" si="13"/>
        <v>29.830440654228983</v>
      </c>
      <c r="D195" s="169"/>
    </row>
    <row r="196" spans="1:4">
      <c r="A196" s="170">
        <v>27089</v>
      </c>
      <c r="B196" s="171">
        <v>50.2</v>
      </c>
      <c r="C196" s="169">
        <f t="shared" si="13"/>
        <v>30.130545690991852</v>
      </c>
      <c r="D196" s="169"/>
    </row>
    <row r="197" spans="1:4">
      <c r="A197" s="170">
        <v>27120</v>
      </c>
      <c r="B197" s="171">
        <v>50.7</v>
      </c>
      <c r="C197" s="169">
        <f t="shared" si="13"/>
        <v>30.430650727754717</v>
      </c>
      <c r="D197" s="169"/>
    </row>
    <row r="198" spans="1:4">
      <c r="A198" s="170">
        <v>27150</v>
      </c>
      <c r="B198" s="171">
        <v>51.3</v>
      </c>
      <c r="C198" s="169">
        <f t="shared" si="13"/>
        <v>30.790776771870153</v>
      </c>
      <c r="D198" s="169"/>
    </row>
    <row r="199" spans="1:4">
      <c r="A199" s="170">
        <v>27181</v>
      </c>
      <c r="B199" s="171">
        <v>51.3</v>
      </c>
      <c r="C199" s="169">
        <f t="shared" si="13"/>
        <v>30.790776771870153</v>
      </c>
      <c r="D199" s="169"/>
    </row>
    <row r="200" spans="1:4">
      <c r="A200" s="170">
        <v>27211</v>
      </c>
      <c r="B200" s="171">
        <v>52.7</v>
      </c>
      <c r="C200" s="169">
        <f t="shared" si="13"/>
        <v>31.631070874806188</v>
      </c>
      <c r="D200" s="169"/>
    </row>
    <row r="201" spans="1:4">
      <c r="A201" s="170">
        <v>27242</v>
      </c>
      <c r="B201" s="171">
        <v>53.7</v>
      </c>
      <c r="C201" s="169">
        <f t="shared" si="13"/>
        <v>32.231280948331921</v>
      </c>
      <c r="D201" s="169"/>
    </row>
    <row r="202" spans="1:4">
      <c r="A202" s="170">
        <v>27273</v>
      </c>
      <c r="B202" s="171">
        <v>54.3</v>
      </c>
      <c r="C202" s="169">
        <f t="shared" si="13"/>
        <v>32.591406992447361</v>
      </c>
      <c r="D202" s="169"/>
    </row>
    <row r="203" spans="1:4">
      <c r="A203" s="170">
        <v>27303</v>
      </c>
      <c r="B203" s="171">
        <v>55.3</v>
      </c>
      <c r="C203" s="169">
        <f t="shared" si="13"/>
        <v>33.191617065973091</v>
      </c>
      <c r="D203" s="169"/>
    </row>
    <row r="204" spans="1:4">
      <c r="A204" s="170">
        <v>27334</v>
      </c>
      <c r="B204" s="171">
        <v>56.4</v>
      </c>
      <c r="C204" s="169">
        <f t="shared" si="13"/>
        <v>33.851848146851395</v>
      </c>
      <c r="D204" s="169"/>
    </row>
    <row r="205" spans="1:4">
      <c r="A205" s="170">
        <v>27364</v>
      </c>
      <c r="B205" s="171">
        <v>56.4</v>
      </c>
      <c r="C205" s="169">
        <f t="shared" si="13"/>
        <v>33.851848146851395</v>
      </c>
      <c r="D205" s="169"/>
    </row>
    <row r="206" spans="1:4">
      <c r="A206" s="170">
        <v>27395</v>
      </c>
      <c r="B206" s="171">
        <v>56.7</v>
      </c>
      <c r="C206" s="169">
        <f t="shared" ref="C206:C269" si="14">+B206/$C$12*100</f>
        <v>34.031911168909126</v>
      </c>
      <c r="D206" s="169"/>
    </row>
    <row r="207" spans="1:4">
      <c r="A207" s="170">
        <v>27426</v>
      </c>
      <c r="B207" s="171">
        <v>56.6</v>
      </c>
      <c r="C207" s="169">
        <f t="shared" si="14"/>
        <v>33.971890161556551</v>
      </c>
      <c r="D207" s="169"/>
    </row>
    <row r="208" spans="1:4">
      <c r="A208" s="170">
        <v>27454</v>
      </c>
      <c r="B208" s="171">
        <v>56.6</v>
      </c>
      <c r="C208" s="169">
        <f t="shared" si="14"/>
        <v>33.971890161556551</v>
      </c>
      <c r="D208" s="169"/>
    </row>
    <row r="209" spans="1:4">
      <c r="A209" s="170">
        <v>27485</v>
      </c>
      <c r="B209" s="171">
        <v>57.1</v>
      </c>
      <c r="C209" s="169">
        <f t="shared" si="14"/>
        <v>34.271995198319416</v>
      </c>
      <c r="D209" s="169"/>
    </row>
    <row r="210" spans="1:4">
      <c r="A210" s="170">
        <v>27515</v>
      </c>
      <c r="B210" s="171">
        <v>57.4</v>
      </c>
      <c r="C210" s="169">
        <f t="shared" si="14"/>
        <v>34.452058220377133</v>
      </c>
      <c r="D210" s="169"/>
    </row>
    <row r="211" spans="1:4">
      <c r="A211" s="170">
        <v>27546</v>
      </c>
      <c r="B211" s="171">
        <v>57.9</v>
      </c>
      <c r="C211" s="169">
        <f t="shared" si="14"/>
        <v>34.752163257139998</v>
      </c>
      <c r="D211" s="169"/>
    </row>
    <row r="212" spans="1:4">
      <c r="A212" s="170">
        <v>27576</v>
      </c>
      <c r="B212" s="171">
        <v>58.4</v>
      </c>
      <c r="C212" s="169">
        <f t="shared" si="14"/>
        <v>35.05226829390287</v>
      </c>
      <c r="D212" s="169"/>
    </row>
    <row r="213" spans="1:4">
      <c r="A213" s="170">
        <v>27607</v>
      </c>
      <c r="B213" s="171">
        <v>58.9</v>
      </c>
      <c r="C213" s="169">
        <f t="shared" si="14"/>
        <v>35.352373330665735</v>
      </c>
      <c r="D213" s="169"/>
    </row>
    <row r="214" spans="1:4">
      <c r="A214" s="170">
        <v>27638</v>
      </c>
      <c r="B214" s="171">
        <v>59.3</v>
      </c>
      <c r="C214" s="169">
        <f t="shared" si="14"/>
        <v>35.592457360076033</v>
      </c>
      <c r="D214" s="169"/>
    </row>
    <row r="215" spans="1:4">
      <c r="A215" s="170">
        <v>27668</v>
      </c>
      <c r="B215" s="171">
        <v>59.8</v>
      </c>
      <c r="C215" s="169">
        <f t="shared" si="14"/>
        <v>35.892562396838898</v>
      </c>
      <c r="D215" s="169"/>
    </row>
    <row r="216" spans="1:4">
      <c r="A216" s="170">
        <v>27699</v>
      </c>
      <c r="B216" s="171">
        <v>60</v>
      </c>
      <c r="C216" s="169">
        <f t="shared" si="14"/>
        <v>36.012604411544039</v>
      </c>
      <c r="D216" s="169"/>
    </row>
    <row r="217" spans="1:4">
      <c r="A217" s="170">
        <v>27729</v>
      </c>
      <c r="B217" s="171">
        <v>60.1</v>
      </c>
      <c r="C217" s="169">
        <f t="shared" si="14"/>
        <v>36.072625418896621</v>
      </c>
      <c r="D217" s="169"/>
    </row>
    <row r="218" spans="1:4">
      <c r="A218" s="170">
        <v>27760</v>
      </c>
      <c r="B218" s="171">
        <v>60</v>
      </c>
      <c r="C218" s="169">
        <f t="shared" si="14"/>
        <v>36.012604411544039</v>
      </c>
      <c r="D218" s="169"/>
    </row>
    <row r="219" spans="1:4">
      <c r="A219" s="170">
        <v>27791</v>
      </c>
      <c r="B219" s="171">
        <v>59.9</v>
      </c>
      <c r="C219" s="169">
        <f t="shared" si="14"/>
        <v>35.952583404191465</v>
      </c>
      <c r="D219" s="169"/>
    </row>
    <row r="220" spans="1:4">
      <c r="A220" s="170">
        <v>27820</v>
      </c>
      <c r="B220" s="171">
        <v>60</v>
      </c>
      <c r="C220" s="169">
        <f t="shared" si="14"/>
        <v>36.012604411544039</v>
      </c>
      <c r="D220" s="169"/>
    </row>
    <row r="221" spans="1:4">
      <c r="A221" s="170">
        <v>27851</v>
      </c>
      <c r="B221" s="171">
        <v>60.3</v>
      </c>
      <c r="C221" s="169">
        <f t="shared" si="14"/>
        <v>36.192667433601763</v>
      </c>
      <c r="D221" s="169"/>
    </row>
    <row r="222" spans="1:4">
      <c r="A222" s="170">
        <v>27881</v>
      </c>
      <c r="B222" s="171">
        <v>60.4</v>
      </c>
      <c r="C222" s="169">
        <f t="shared" si="14"/>
        <v>36.252688440954337</v>
      </c>
      <c r="D222" s="169"/>
    </row>
    <row r="223" spans="1:4">
      <c r="A223" s="170">
        <v>27912</v>
      </c>
      <c r="B223" s="171">
        <v>60.5</v>
      </c>
      <c r="C223" s="169">
        <f t="shared" si="14"/>
        <v>36.312709448306911</v>
      </c>
      <c r="D223" s="169"/>
    </row>
    <row r="224" spans="1:4">
      <c r="A224" s="170">
        <v>27942</v>
      </c>
      <c r="B224" s="171">
        <v>60.7</v>
      </c>
      <c r="C224" s="169">
        <f t="shared" si="14"/>
        <v>36.43275146301206</v>
      </c>
      <c r="D224" s="169"/>
    </row>
    <row r="225" spans="1:4">
      <c r="A225" s="170">
        <v>27973</v>
      </c>
      <c r="B225" s="171">
        <v>60.9</v>
      </c>
      <c r="C225" s="169">
        <f t="shared" si="14"/>
        <v>36.552793477717202</v>
      </c>
      <c r="D225" s="169"/>
    </row>
    <row r="226" spans="1:4">
      <c r="A226" s="170">
        <v>28004</v>
      </c>
      <c r="B226" s="171">
        <v>61.1</v>
      </c>
      <c r="C226" s="169">
        <f t="shared" si="14"/>
        <v>36.672835492422351</v>
      </c>
      <c r="D226" s="169"/>
    </row>
    <row r="227" spans="1:4">
      <c r="A227" s="170">
        <v>28034</v>
      </c>
      <c r="B227" s="171">
        <v>61.4</v>
      </c>
      <c r="C227" s="169">
        <f t="shared" si="14"/>
        <v>36.852898514480067</v>
      </c>
      <c r="D227" s="169"/>
    </row>
    <row r="228" spans="1:4">
      <c r="A228" s="170">
        <v>28065</v>
      </c>
      <c r="B228" s="171">
        <v>61.9</v>
      </c>
      <c r="C228" s="169">
        <f t="shared" si="14"/>
        <v>37.153003551242932</v>
      </c>
      <c r="D228" s="169"/>
    </row>
    <row r="229" spans="1:4">
      <c r="A229" s="170">
        <v>28095</v>
      </c>
      <c r="B229" s="171">
        <v>62.4</v>
      </c>
      <c r="C229" s="169">
        <f t="shared" si="14"/>
        <v>37.453108588005804</v>
      </c>
      <c r="D229" s="169"/>
    </row>
    <row r="230" spans="1:4">
      <c r="A230" s="170">
        <v>28126</v>
      </c>
      <c r="B230" s="171">
        <v>62.5</v>
      </c>
      <c r="C230" s="169">
        <f t="shared" si="14"/>
        <v>37.513129595358379</v>
      </c>
      <c r="D230" s="169"/>
    </row>
    <row r="231" spans="1:4">
      <c r="A231" s="170">
        <v>28157</v>
      </c>
      <c r="B231" s="171">
        <v>63.2</v>
      </c>
      <c r="C231" s="169">
        <f t="shared" si="14"/>
        <v>37.933276646826393</v>
      </c>
      <c r="D231" s="169"/>
    </row>
    <row r="232" spans="1:4">
      <c r="A232" s="170">
        <v>28185</v>
      </c>
      <c r="B232" s="171">
        <v>63.7</v>
      </c>
      <c r="C232" s="169">
        <f t="shared" si="14"/>
        <v>38.233381683589265</v>
      </c>
      <c r="D232" s="169"/>
    </row>
    <row r="233" spans="1:4">
      <c r="A233" s="170">
        <v>28216</v>
      </c>
      <c r="B233" s="171">
        <v>64</v>
      </c>
      <c r="C233" s="169">
        <f t="shared" si="14"/>
        <v>38.413444705646981</v>
      </c>
      <c r="D233" s="169"/>
    </row>
    <row r="234" spans="1:4">
      <c r="A234" s="170">
        <v>28246</v>
      </c>
      <c r="B234" s="171">
        <v>64.400000000000006</v>
      </c>
      <c r="C234" s="169">
        <f t="shared" si="14"/>
        <v>38.653528735057272</v>
      </c>
      <c r="D234" s="169"/>
    </row>
    <row r="235" spans="1:4">
      <c r="A235" s="170">
        <v>28277</v>
      </c>
      <c r="B235" s="171">
        <v>64.599999999999994</v>
      </c>
      <c r="C235" s="169">
        <f t="shared" si="14"/>
        <v>38.773570749762413</v>
      </c>
      <c r="D235" s="169"/>
    </row>
    <row r="236" spans="1:4">
      <c r="A236" s="170">
        <v>28307</v>
      </c>
      <c r="B236" s="171">
        <v>64.8</v>
      </c>
      <c r="C236" s="169">
        <f t="shared" si="14"/>
        <v>38.893612764467569</v>
      </c>
      <c r="D236" s="169"/>
    </row>
    <row r="237" spans="1:4">
      <c r="A237" s="170">
        <v>28338</v>
      </c>
      <c r="B237" s="171">
        <v>65.2</v>
      </c>
      <c r="C237" s="169">
        <f t="shared" si="14"/>
        <v>39.133696793877867</v>
      </c>
      <c r="D237" s="169"/>
    </row>
    <row r="238" spans="1:4">
      <c r="A238" s="170">
        <v>28369</v>
      </c>
      <c r="B238" s="171">
        <v>65.5</v>
      </c>
      <c r="C238" s="169">
        <f t="shared" si="14"/>
        <v>39.313759815935576</v>
      </c>
      <c r="D238" s="169"/>
    </row>
    <row r="239" spans="1:4">
      <c r="A239" s="170">
        <v>28399</v>
      </c>
      <c r="B239" s="171">
        <v>65.900000000000006</v>
      </c>
      <c r="C239" s="169">
        <f t="shared" si="14"/>
        <v>39.553843845345874</v>
      </c>
      <c r="D239" s="169"/>
    </row>
    <row r="240" spans="1:4">
      <c r="A240" s="170">
        <v>28430</v>
      </c>
      <c r="B240" s="171">
        <v>66.400000000000006</v>
      </c>
      <c r="C240" s="169">
        <f t="shared" si="14"/>
        <v>39.853948882108746</v>
      </c>
      <c r="D240" s="169"/>
    </row>
    <row r="241" spans="1:4">
      <c r="A241" s="170">
        <v>28460</v>
      </c>
      <c r="B241" s="171">
        <v>66.7</v>
      </c>
      <c r="C241" s="169">
        <f t="shared" si="14"/>
        <v>40.034011904166462</v>
      </c>
      <c r="D241" s="169"/>
    </row>
    <row r="242" spans="1:4">
      <c r="A242" s="170">
        <v>28491</v>
      </c>
      <c r="B242" s="171">
        <v>67</v>
      </c>
      <c r="C242" s="169">
        <f t="shared" si="14"/>
        <v>40.214074926224178</v>
      </c>
      <c r="D242" s="169"/>
    </row>
    <row r="243" spans="1:4">
      <c r="A243" s="170">
        <v>28522</v>
      </c>
      <c r="B243" s="171">
        <v>67.5</v>
      </c>
      <c r="C243" s="169">
        <f t="shared" si="14"/>
        <v>40.51417996298705</v>
      </c>
      <c r="D243" s="169"/>
    </row>
    <row r="244" spans="1:4">
      <c r="A244" s="170">
        <v>28550</v>
      </c>
      <c r="B244" s="171">
        <v>67.8</v>
      </c>
      <c r="C244" s="169">
        <f t="shared" si="14"/>
        <v>40.694242985044767</v>
      </c>
      <c r="D244" s="169"/>
    </row>
    <row r="245" spans="1:4">
      <c r="A245" s="170">
        <v>28581</v>
      </c>
      <c r="B245" s="171">
        <v>68.599999999999994</v>
      </c>
      <c r="C245" s="169">
        <f t="shared" si="14"/>
        <v>41.174411043865355</v>
      </c>
      <c r="D245" s="169"/>
    </row>
    <row r="246" spans="1:4">
      <c r="A246" s="170">
        <v>28611</v>
      </c>
      <c r="B246" s="171">
        <v>69.099999999999994</v>
      </c>
      <c r="C246" s="169">
        <f t="shared" si="14"/>
        <v>41.47451608062822</v>
      </c>
      <c r="D246" s="169"/>
    </row>
    <row r="247" spans="1:4">
      <c r="A247" s="170">
        <v>28642</v>
      </c>
      <c r="B247" s="171">
        <v>69.7</v>
      </c>
      <c r="C247" s="169">
        <f t="shared" si="14"/>
        <v>41.834642124743667</v>
      </c>
      <c r="D247" s="169"/>
    </row>
    <row r="248" spans="1:4">
      <c r="A248" s="170">
        <v>28672</v>
      </c>
      <c r="B248" s="171">
        <v>70.3</v>
      </c>
      <c r="C248" s="169">
        <f t="shared" si="14"/>
        <v>42.194768168859106</v>
      </c>
      <c r="D248" s="169"/>
    </row>
    <row r="249" spans="1:4">
      <c r="A249" s="170">
        <v>28703</v>
      </c>
      <c r="B249" s="171">
        <v>70.400000000000006</v>
      </c>
      <c r="C249" s="169">
        <f t="shared" si="14"/>
        <v>42.254789176211681</v>
      </c>
      <c r="D249" s="169"/>
    </row>
    <row r="250" spans="1:4">
      <c r="A250" s="170">
        <v>28734</v>
      </c>
      <c r="B250" s="171">
        <v>71.099999999999994</v>
      </c>
      <c r="C250" s="169">
        <f t="shared" si="14"/>
        <v>42.674936227679687</v>
      </c>
      <c r="D250" s="169"/>
    </row>
    <row r="251" spans="1:4">
      <c r="A251" s="170">
        <v>28764</v>
      </c>
      <c r="B251" s="171">
        <v>71.400000000000006</v>
      </c>
      <c r="C251" s="169">
        <f t="shared" si="14"/>
        <v>42.854999249737411</v>
      </c>
      <c r="D251" s="169"/>
    </row>
    <row r="252" spans="1:4">
      <c r="A252" s="170">
        <v>28795</v>
      </c>
      <c r="B252" s="171">
        <v>72</v>
      </c>
      <c r="C252" s="169">
        <f t="shared" si="14"/>
        <v>43.21512529385285</v>
      </c>
      <c r="D252" s="169"/>
    </row>
    <row r="253" spans="1:4">
      <c r="A253" s="170">
        <v>28825</v>
      </c>
      <c r="B253" s="171">
        <v>72.8</v>
      </c>
      <c r="C253" s="169">
        <f t="shared" si="14"/>
        <v>43.695293352673438</v>
      </c>
      <c r="D253" s="169"/>
    </row>
    <row r="254" spans="1:4">
      <c r="A254" s="170">
        <v>28856</v>
      </c>
      <c r="B254" s="171">
        <v>73.7</v>
      </c>
      <c r="C254" s="169">
        <f t="shared" si="14"/>
        <v>44.235482418846601</v>
      </c>
      <c r="D254" s="169"/>
    </row>
    <row r="255" spans="1:4">
      <c r="A255" s="170">
        <v>28887</v>
      </c>
      <c r="B255" s="171">
        <v>74.400000000000006</v>
      </c>
      <c r="C255" s="169">
        <f t="shared" si="14"/>
        <v>44.655629470314615</v>
      </c>
      <c r="D255" s="169"/>
    </row>
    <row r="256" spans="1:4">
      <c r="A256" s="170">
        <v>28915</v>
      </c>
      <c r="B256" s="171">
        <v>75</v>
      </c>
      <c r="C256" s="169">
        <f t="shared" si="14"/>
        <v>45.015755514430055</v>
      </c>
      <c r="D256" s="169"/>
    </row>
    <row r="257" spans="1:4">
      <c r="A257" s="170">
        <v>28946</v>
      </c>
      <c r="B257" s="171">
        <v>75.8</v>
      </c>
      <c r="C257" s="169">
        <f t="shared" si="14"/>
        <v>45.495923573250643</v>
      </c>
      <c r="D257" s="169"/>
    </row>
    <row r="258" spans="1:4">
      <c r="A258" s="170">
        <v>28976</v>
      </c>
      <c r="B258" s="171">
        <v>76.2</v>
      </c>
      <c r="C258" s="169">
        <f t="shared" si="14"/>
        <v>45.736007602660941</v>
      </c>
      <c r="D258" s="169"/>
    </row>
    <row r="259" spans="1:4">
      <c r="A259" s="170">
        <v>29007</v>
      </c>
      <c r="B259" s="171">
        <v>76.599999999999994</v>
      </c>
      <c r="C259" s="169">
        <f t="shared" si="14"/>
        <v>45.976091632071224</v>
      </c>
      <c r="D259" s="169"/>
    </row>
    <row r="260" spans="1:4">
      <c r="A260" s="170">
        <v>29037</v>
      </c>
      <c r="B260" s="171">
        <v>77.400000000000006</v>
      </c>
      <c r="C260" s="169">
        <f t="shared" si="14"/>
        <v>46.45625969089182</v>
      </c>
      <c r="D260" s="169"/>
    </row>
    <row r="261" spans="1:4">
      <c r="A261" s="170">
        <v>29068</v>
      </c>
      <c r="B261" s="171">
        <v>78.2</v>
      </c>
      <c r="C261" s="169">
        <f t="shared" si="14"/>
        <v>46.936427749712408</v>
      </c>
      <c r="D261" s="169"/>
    </row>
    <row r="262" spans="1:4">
      <c r="A262" s="170">
        <v>29099</v>
      </c>
      <c r="B262" s="171">
        <v>79.5</v>
      </c>
      <c r="C262" s="169">
        <f t="shared" si="14"/>
        <v>47.716700845295854</v>
      </c>
      <c r="D262" s="169"/>
    </row>
    <row r="263" spans="1:4">
      <c r="A263" s="170">
        <v>29129</v>
      </c>
      <c r="B263" s="171">
        <v>80.400000000000006</v>
      </c>
      <c r="C263" s="169">
        <f t="shared" si="14"/>
        <v>48.256889911469017</v>
      </c>
      <c r="D263" s="169"/>
    </row>
    <row r="264" spans="1:4">
      <c r="A264" s="170">
        <v>29160</v>
      </c>
      <c r="B264" s="171">
        <v>81.400000000000006</v>
      </c>
      <c r="C264" s="169">
        <f t="shared" si="14"/>
        <v>48.857099984994754</v>
      </c>
      <c r="D264" s="169"/>
    </row>
    <row r="265" spans="1:4">
      <c r="A265" s="170">
        <v>29190</v>
      </c>
      <c r="B265" s="171">
        <v>82.2</v>
      </c>
      <c r="C265" s="169">
        <f t="shared" si="14"/>
        <v>49.337268043815342</v>
      </c>
      <c r="D265" s="169"/>
    </row>
    <row r="266" spans="1:4">
      <c r="A266" s="170">
        <v>29221</v>
      </c>
      <c r="B266" s="171">
        <v>83.4</v>
      </c>
      <c r="C266" s="169">
        <f t="shared" si="14"/>
        <v>50.057520132046221</v>
      </c>
      <c r="D266" s="169"/>
    </row>
    <row r="267" spans="1:4">
      <c r="A267" s="170">
        <v>29252</v>
      </c>
      <c r="B267" s="171">
        <v>84.6</v>
      </c>
      <c r="C267" s="169">
        <f t="shared" si="14"/>
        <v>50.777772220277093</v>
      </c>
      <c r="D267" s="169"/>
    </row>
    <row r="268" spans="1:4">
      <c r="A268" s="170">
        <v>29281</v>
      </c>
      <c r="B268" s="171">
        <v>85.5</v>
      </c>
      <c r="C268" s="169">
        <f t="shared" si="14"/>
        <v>51.317961286450263</v>
      </c>
      <c r="D268" s="169"/>
    </row>
    <row r="269" spans="1:4">
      <c r="A269" s="170">
        <v>29312</v>
      </c>
      <c r="B269" s="171">
        <v>86.2</v>
      </c>
      <c r="C269" s="169">
        <f t="shared" si="14"/>
        <v>51.738108337918277</v>
      </c>
      <c r="D269" s="169"/>
    </row>
    <row r="270" spans="1:4">
      <c r="A270" s="170">
        <v>29342</v>
      </c>
      <c r="B270" s="171">
        <v>86.6</v>
      </c>
      <c r="C270" s="169">
        <f t="shared" ref="C270:C333" si="15">+B270/$C$12*100</f>
        <v>51.978192367328568</v>
      </c>
      <c r="D270" s="169"/>
    </row>
    <row r="271" spans="1:4">
      <c r="A271" s="170">
        <v>29373</v>
      </c>
      <c r="B271" s="171">
        <v>87.3</v>
      </c>
      <c r="C271" s="169">
        <f t="shared" si="15"/>
        <v>52.398339418796581</v>
      </c>
      <c r="D271" s="169"/>
    </row>
    <row r="272" spans="1:4">
      <c r="A272" s="170">
        <v>29403</v>
      </c>
      <c r="B272" s="171">
        <v>88.7</v>
      </c>
      <c r="C272" s="169">
        <f t="shared" si="15"/>
        <v>53.238633521732616</v>
      </c>
      <c r="D272" s="169"/>
    </row>
    <row r="273" spans="1:4">
      <c r="A273" s="170">
        <v>29434</v>
      </c>
      <c r="B273" s="171">
        <v>89.7</v>
      </c>
      <c r="C273" s="169">
        <f t="shared" si="15"/>
        <v>53.838843595258346</v>
      </c>
      <c r="D273" s="169"/>
    </row>
    <row r="274" spans="1:4">
      <c r="A274" s="170">
        <v>29465</v>
      </c>
      <c r="B274" s="171">
        <v>90.1</v>
      </c>
      <c r="C274" s="169">
        <f t="shared" si="15"/>
        <v>54.078927624668637</v>
      </c>
      <c r="D274" s="169"/>
    </row>
    <row r="275" spans="1:4">
      <c r="A275" s="170">
        <v>29495</v>
      </c>
      <c r="B275" s="171">
        <v>90.8</v>
      </c>
      <c r="C275" s="169">
        <f t="shared" si="15"/>
        <v>54.499074676136651</v>
      </c>
      <c r="D275" s="169"/>
    </row>
    <row r="276" spans="1:4">
      <c r="A276" s="170">
        <v>29526</v>
      </c>
      <c r="B276" s="171">
        <v>91.4</v>
      </c>
      <c r="C276" s="169">
        <f t="shared" si="15"/>
        <v>54.859200720252097</v>
      </c>
      <c r="D276" s="169"/>
    </row>
    <row r="277" spans="1:4">
      <c r="A277" s="170">
        <v>29556</v>
      </c>
      <c r="B277" s="171">
        <v>91.8</v>
      </c>
      <c r="C277" s="169">
        <f t="shared" si="15"/>
        <v>55.099284749662381</v>
      </c>
      <c r="D277" s="169"/>
    </row>
    <row r="278" spans="1:4">
      <c r="A278" s="170">
        <v>29587</v>
      </c>
      <c r="B278" s="171">
        <v>92.8</v>
      </c>
      <c r="C278" s="169">
        <f t="shared" si="15"/>
        <v>55.699494823188125</v>
      </c>
      <c r="D278" s="169"/>
    </row>
    <row r="279" spans="1:4">
      <c r="A279" s="170">
        <v>29618</v>
      </c>
      <c r="B279" s="171">
        <v>93.6</v>
      </c>
      <c r="C279" s="169">
        <f t="shared" si="15"/>
        <v>56.179662882008707</v>
      </c>
      <c r="D279" s="169"/>
    </row>
    <row r="280" spans="1:4">
      <c r="A280" s="170">
        <v>29646</v>
      </c>
      <c r="B280" s="171">
        <v>94.7</v>
      </c>
      <c r="C280" s="169">
        <f t="shared" si="15"/>
        <v>56.839893962887011</v>
      </c>
      <c r="D280" s="169"/>
    </row>
    <row r="281" spans="1:4">
      <c r="A281" s="170">
        <v>29677</v>
      </c>
      <c r="B281" s="171">
        <v>95.7</v>
      </c>
      <c r="C281" s="169">
        <f t="shared" si="15"/>
        <v>57.440104036412755</v>
      </c>
      <c r="D281" s="169"/>
    </row>
    <row r="282" spans="1:4">
      <c r="A282" s="170">
        <v>29707</v>
      </c>
      <c r="B282" s="171">
        <v>96</v>
      </c>
      <c r="C282" s="169">
        <f t="shared" si="15"/>
        <v>57.620167058470471</v>
      </c>
      <c r="D282" s="169"/>
    </row>
    <row r="283" spans="1:4">
      <c r="A283" s="170">
        <v>29738</v>
      </c>
      <c r="B283" s="171">
        <v>96.5</v>
      </c>
      <c r="C283" s="169">
        <f t="shared" si="15"/>
        <v>57.920272095233337</v>
      </c>
      <c r="D283" s="169"/>
    </row>
    <row r="284" spans="1:4">
      <c r="A284" s="170">
        <v>29768</v>
      </c>
      <c r="B284" s="171">
        <v>96.7</v>
      </c>
      <c r="C284" s="169">
        <f t="shared" si="15"/>
        <v>58.040314109938485</v>
      </c>
      <c r="D284" s="169"/>
    </row>
    <row r="285" spans="1:4">
      <c r="A285" s="170">
        <v>29799</v>
      </c>
      <c r="B285" s="171">
        <v>96.8</v>
      </c>
      <c r="C285" s="169">
        <f t="shared" si="15"/>
        <v>58.10033511729106</v>
      </c>
      <c r="D285" s="169"/>
    </row>
    <row r="286" spans="1:4">
      <c r="A286" s="170">
        <v>29830</v>
      </c>
      <c r="B286" s="171">
        <v>97.2</v>
      </c>
      <c r="C286" s="169">
        <f t="shared" si="15"/>
        <v>58.34041914670135</v>
      </c>
      <c r="D286" s="169"/>
    </row>
    <row r="287" spans="1:4">
      <c r="A287" s="170">
        <v>29860</v>
      </c>
      <c r="B287" s="171">
        <v>97.6</v>
      </c>
      <c r="C287" s="169">
        <f t="shared" si="15"/>
        <v>58.580503176111641</v>
      </c>
      <c r="D287" s="169"/>
    </row>
    <row r="288" spans="1:4">
      <c r="A288" s="170">
        <v>29891</v>
      </c>
      <c r="B288" s="171">
        <v>97.9</v>
      </c>
      <c r="C288" s="169">
        <f t="shared" si="15"/>
        <v>58.760566198169371</v>
      </c>
      <c r="D288" s="169"/>
    </row>
    <row r="289" spans="1:4">
      <c r="A289" s="170">
        <v>29921</v>
      </c>
      <c r="B289" s="171">
        <v>98.3</v>
      </c>
      <c r="C289" s="169">
        <f t="shared" si="15"/>
        <v>59.000650227579655</v>
      </c>
      <c r="D289" s="169"/>
    </row>
    <row r="290" spans="1:4">
      <c r="A290" s="170">
        <v>29952</v>
      </c>
      <c r="B290" s="171">
        <v>98.9</v>
      </c>
      <c r="C290" s="169">
        <f t="shared" si="15"/>
        <v>59.360776271695102</v>
      </c>
      <c r="D290" s="169"/>
    </row>
    <row r="291" spans="1:4">
      <c r="A291" s="170">
        <v>29983</v>
      </c>
      <c r="B291" s="171">
        <v>98.8</v>
      </c>
      <c r="C291" s="169">
        <f t="shared" si="15"/>
        <v>59.30075526434252</v>
      </c>
      <c r="D291" s="169"/>
    </row>
    <row r="292" spans="1:4">
      <c r="A292" s="170">
        <v>30011</v>
      </c>
      <c r="B292" s="171">
        <v>98.8</v>
      </c>
      <c r="C292" s="169">
        <f t="shared" si="15"/>
        <v>59.30075526434252</v>
      </c>
      <c r="D292" s="169"/>
    </row>
    <row r="293" spans="1:4">
      <c r="A293" s="170">
        <v>30042</v>
      </c>
      <c r="B293" s="171">
        <v>99</v>
      </c>
      <c r="C293" s="169">
        <f t="shared" si="15"/>
        <v>59.420797279047676</v>
      </c>
      <c r="D293" s="169"/>
    </row>
    <row r="294" spans="1:4">
      <c r="A294" s="170">
        <v>30072</v>
      </c>
      <c r="B294" s="171">
        <v>99</v>
      </c>
      <c r="C294" s="169">
        <f t="shared" si="15"/>
        <v>59.420797279047676</v>
      </c>
      <c r="D294" s="169"/>
    </row>
    <row r="295" spans="1:4">
      <c r="A295" s="170">
        <v>30103</v>
      </c>
      <c r="B295" s="171">
        <v>99.8</v>
      </c>
      <c r="C295" s="169">
        <f t="shared" si="15"/>
        <v>59.900965337868264</v>
      </c>
      <c r="D295" s="169"/>
    </row>
    <row r="296" spans="1:4">
      <c r="A296" s="170">
        <v>30133</v>
      </c>
      <c r="B296" s="171">
        <v>100.2</v>
      </c>
      <c r="C296" s="169">
        <f t="shared" si="15"/>
        <v>60.141049367278555</v>
      </c>
      <c r="D296" s="169"/>
    </row>
    <row r="297" spans="1:4">
      <c r="A297" s="170">
        <v>30164</v>
      </c>
      <c r="B297" s="171">
        <v>100.6</v>
      </c>
      <c r="C297" s="169">
        <f t="shared" si="15"/>
        <v>60.381133396688845</v>
      </c>
      <c r="D297" s="169"/>
    </row>
    <row r="298" spans="1:4">
      <c r="A298" s="170">
        <v>30195</v>
      </c>
      <c r="B298" s="171">
        <v>100.7</v>
      </c>
      <c r="C298" s="169">
        <f t="shared" si="15"/>
        <v>60.44115440404142</v>
      </c>
      <c r="D298" s="169"/>
    </row>
    <row r="299" spans="1:4">
      <c r="A299" s="170">
        <v>30225</v>
      </c>
      <c r="B299" s="171">
        <v>101</v>
      </c>
      <c r="C299" s="169">
        <f t="shared" si="15"/>
        <v>60.621217426099136</v>
      </c>
      <c r="D299" s="169"/>
    </row>
    <row r="300" spans="1:4">
      <c r="A300" s="170">
        <v>30256</v>
      </c>
      <c r="B300" s="171">
        <v>101.4</v>
      </c>
      <c r="C300" s="169">
        <f t="shared" si="15"/>
        <v>60.861301455509434</v>
      </c>
      <c r="D300" s="169"/>
    </row>
    <row r="301" spans="1:4">
      <c r="A301" s="170">
        <v>30286</v>
      </c>
      <c r="B301" s="171">
        <v>101.8</v>
      </c>
      <c r="C301" s="169">
        <f t="shared" si="15"/>
        <v>61.101385484919724</v>
      </c>
      <c r="D301" s="169"/>
    </row>
    <row r="302" spans="1:4">
      <c r="A302" s="170">
        <v>30317</v>
      </c>
      <c r="B302" s="171">
        <v>101</v>
      </c>
      <c r="C302" s="169">
        <f t="shared" si="15"/>
        <v>60.621217426099136</v>
      </c>
      <c r="D302" s="169"/>
    </row>
    <row r="303" spans="1:4">
      <c r="A303" s="170">
        <v>30348</v>
      </c>
      <c r="B303" s="171">
        <v>101.1</v>
      </c>
      <c r="C303" s="169">
        <f t="shared" si="15"/>
        <v>60.681238433451711</v>
      </c>
      <c r="D303" s="169"/>
    </row>
    <row r="304" spans="1:4">
      <c r="A304" s="170">
        <v>30376</v>
      </c>
      <c r="B304" s="171">
        <v>101</v>
      </c>
      <c r="C304" s="169">
        <f t="shared" si="15"/>
        <v>60.621217426099136</v>
      </c>
      <c r="D304" s="169"/>
    </row>
    <row r="305" spans="1:4">
      <c r="A305" s="170">
        <v>30407</v>
      </c>
      <c r="B305" s="171">
        <v>101.1</v>
      </c>
      <c r="C305" s="169">
        <f t="shared" si="15"/>
        <v>60.681238433451711</v>
      </c>
      <c r="D305" s="169"/>
    </row>
    <row r="306" spans="1:4">
      <c r="A306" s="170">
        <v>30437</v>
      </c>
      <c r="B306" s="171">
        <v>101.4</v>
      </c>
      <c r="C306" s="169">
        <f t="shared" si="15"/>
        <v>60.861301455509434</v>
      </c>
      <c r="D306" s="169"/>
    </row>
    <row r="307" spans="1:4">
      <c r="A307" s="170">
        <v>30468</v>
      </c>
      <c r="B307" s="171">
        <v>101.6</v>
      </c>
      <c r="C307" s="169">
        <f t="shared" si="15"/>
        <v>60.981343470214576</v>
      </c>
      <c r="D307" s="169"/>
    </row>
    <row r="308" spans="1:4">
      <c r="A308" s="170">
        <v>30498</v>
      </c>
      <c r="B308" s="171">
        <v>101.6</v>
      </c>
      <c r="C308" s="169">
        <f t="shared" si="15"/>
        <v>60.981343470214576</v>
      </c>
      <c r="D308" s="169"/>
    </row>
    <row r="309" spans="1:4">
      <c r="A309" s="170">
        <v>30529</v>
      </c>
      <c r="B309" s="171">
        <v>101.9</v>
      </c>
      <c r="C309" s="169">
        <f t="shared" si="15"/>
        <v>61.161406492272306</v>
      </c>
      <c r="D309" s="169"/>
    </row>
    <row r="310" spans="1:4">
      <c r="A310" s="170">
        <v>30560</v>
      </c>
      <c r="B310" s="171">
        <v>102.2</v>
      </c>
      <c r="C310" s="169">
        <f t="shared" si="15"/>
        <v>61.341469514330029</v>
      </c>
      <c r="D310" s="169"/>
    </row>
    <row r="311" spans="1:4">
      <c r="A311" s="170">
        <v>30590</v>
      </c>
      <c r="B311" s="171">
        <v>102.2</v>
      </c>
      <c r="C311" s="169">
        <f t="shared" si="15"/>
        <v>61.341469514330029</v>
      </c>
      <c r="D311" s="169"/>
    </row>
    <row r="312" spans="1:4">
      <c r="A312" s="170">
        <v>30621</v>
      </c>
      <c r="B312" s="171">
        <v>102</v>
      </c>
      <c r="C312" s="169">
        <f t="shared" si="15"/>
        <v>61.221427499624866</v>
      </c>
      <c r="D312" s="169"/>
    </row>
    <row r="313" spans="1:4">
      <c r="A313" s="170">
        <v>30651</v>
      </c>
      <c r="B313" s="171">
        <v>102.3</v>
      </c>
      <c r="C313" s="169">
        <f t="shared" si="15"/>
        <v>61.401490521682589</v>
      </c>
      <c r="D313" s="169"/>
    </row>
    <row r="314" spans="1:4">
      <c r="A314" s="170">
        <v>30682</v>
      </c>
      <c r="B314" s="171">
        <v>103</v>
      </c>
      <c r="C314" s="169">
        <f t="shared" si="15"/>
        <v>61.82163757315061</v>
      </c>
      <c r="D314" s="169"/>
    </row>
    <row r="315" spans="1:4">
      <c r="A315" s="170">
        <v>30713</v>
      </c>
      <c r="B315" s="171">
        <v>103.4</v>
      </c>
      <c r="C315" s="169">
        <f t="shared" si="15"/>
        <v>62.061721602560901</v>
      </c>
      <c r="D315" s="169"/>
    </row>
    <row r="316" spans="1:4">
      <c r="A316" s="170">
        <v>30742</v>
      </c>
      <c r="B316" s="171">
        <v>103.8</v>
      </c>
      <c r="C316" s="169">
        <f t="shared" si="15"/>
        <v>62.301805631971199</v>
      </c>
      <c r="D316" s="169"/>
    </row>
    <row r="317" spans="1:4">
      <c r="A317" s="170">
        <v>30773</v>
      </c>
      <c r="B317" s="171">
        <v>103.9</v>
      </c>
      <c r="C317" s="169">
        <f t="shared" si="15"/>
        <v>62.361826639323766</v>
      </c>
      <c r="D317" s="169"/>
    </row>
    <row r="318" spans="1:4">
      <c r="A318" s="170">
        <v>30803</v>
      </c>
      <c r="B318" s="171">
        <v>103.8</v>
      </c>
      <c r="C318" s="169">
        <f t="shared" si="15"/>
        <v>62.301805631971199</v>
      </c>
      <c r="D318" s="169"/>
    </row>
    <row r="319" spans="1:4">
      <c r="A319" s="170">
        <v>30834</v>
      </c>
      <c r="B319" s="171">
        <v>103.8</v>
      </c>
      <c r="C319" s="169">
        <f t="shared" si="15"/>
        <v>62.301805631971199</v>
      </c>
      <c r="D319" s="169"/>
    </row>
    <row r="320" spans="1:4">
      <c r="A320" s="170">
        <v>30864</v>
      </c>
      <c r="B320" s="171">
        <v>104</v>
      </c>
      <c r="C320" s="169">
        <f t="shared" si="15"/>
        <v>62.421847646676341</v>
      </c>
      <c r="D320" s="169"/>
    </row>
    <row r="321" spans="1:4">
      <c r="A321" s="170">
        <v>30895</v>
      </c>
      <c r="B321" s="171">
        <v>103.8</v>
      </c>
      <c r="C321" s="169">
        <f t="shared" si="15"/>
        <v>62.301805631971199</v>
      </c>
      <c r="D321" s="169"/>
    </row>
    <row r="322" spans="1:4">
      <c r="A322" s="170">
        <v>30926</v>
      </c>
      <c r="B322" s="171">
        <v>103.8</v>
      </c>
      <c r="C322" s="169">
        <f t="shared" si="15"/>
        <v>62.301805631971199</v>
      </c>
      <c r="D322" s="169"/>
    </row>
    <row r="323" spans="1:4">
      <c r="A323" s="170">
        <v>30956</v>
      </c>
      <c r="B323" s="171">
        <v>103.6</v>
      </c>
      <c r="C323" s="169">
        <f t="shared" si="15"/>
        <v>62.181763617266043</v>
      </c>
      <c r="D323" s="169"/>
    </row>
    <row r="324" spans="1:4">
      <c r="A324" s="170">
        <v>30987</v>
      </c>
      <c r="B324" s="171">
        <v>104</v>
      </c>
      <c r="C324" s="169">
        <f t="shared" si="15"/>
        <v>62.421847646676341</v>
      </c>
      <c r="D324" s="169"/>
    </row>
    <row r="325" spans="1:4">
      <c r="A325" s="170">
        <v>31017</v>
      </c>
      <c r="B325" s="171">
        <v>104</v>
      </c>
      <c r="C325" s="169">
        <f t="shared" si="15"/>
        <v>62.421847646676341</v>
      </c>
      <c r="D325" s="169"/>
    </row>
    <row r="326" spans="1:4">
      <c r="A326" s="170">
        <v>31048</v>
      </c>
      <c r="B326" s="171">
        <v>104</v>
      </c>
      <c r="C326" s="169">
        <f t="shared" si="15"/>
        <v>62.421847646676341</v>
      </c>
      <c r="D326" s="169"/>
    </row>
    <row r="327" spans="1:4">
      <c r="A327" s="170">
        <v>31079</v>
      </c>
      <c r="B327" s="171">
        <v>104.1</v>
      </c>
      <c r="C327" s="169">
        <f t="shared" si="15"/>
        <v>62.481868654028915</v>
      </c>
      <c r="D327" s="169"/>
    </row>
    <row r="328" spans="1:4">
      <c r="A328" s="170">
        <v>31107</v>
      </c>
      <c r="B328" s="171">
        <v>104.1</v>
      </c>
      <c r="C328" s="169">
        <f t="shared" si="15"/>
        <v>62.481868654028915</v>
      </c>
      <c r="D328" s="169"/>
    </row>
    <row r="329" spans="1:4">
      <c r="A329" s="170">
        <v>31138</v>
      </c>
      <c r="B329" s="171">
        <v>104.6</v>
      </c>
      <c r="C329" s="169">
        <f t="shared" si="15"/>
        <v>62.78197369079178</v>
      </c>
      <c r="D329" s="169"/>
    </row>
    <row r="330" spans="1:4">
      <c r="A330" s="170">
        <v>31168</v>
      </c>
      <c r="B330" s="171">
        <v>104.9</v>
      </c>
      <c r="C330" s="169">
        <f t="shared" si="15"/>
        <v>62.962036712849503</v>
      </c>
      <c r="D330" s="169"/>
    </row>
    <row r="331" spans="1:4">
      <c r="A331" s="170">
        <v>31199</v>
      </c>
      <c r="B331" s="171">
        <v>104.6</v>
      </c>
      <c r="C331" s="169">
        <f t="shared" si="15"/>
        <v>62.78197369079178</v>
      </c>
      <c r="D331" s="169"/>
    </row>
    <row r="332" spans="1:4">
      <c r="A332" s="170">
        <v>31229</v>
      </c>
      <c r="B332" s="171">
        <v>104.7</v>
      </c>
      <c r="C332" s="169">
        <f t="shared" si="15"/>
        <v>62.841994698144354</v>
      </c>
      <c r="D332" s="169"/>
    </row>
    <row r="333" spans="1:4">
      <c r="A333" s="170">
        <v>31260</v>
      </c>
      <c r="B333" s="171">
        <v>104.5</v>
      </c>
      <c r="C333" s="169">
        <f t="shared" si="15"/>
        <v>62.721952683439206</v>
      </c>
      <c r="D333" s="169"/>
    </row>
    <row r="334" spans="1:4">
      <c r="A334" s="170">
        <v>31291</v>
      </c>
      <c r="B334" s="171">
        <v>103.8</v>
      </c>
      <c r="C334" s="169">
        <f t="shared" ref="C334:C397" si="16">+B334/$C$12*100</f>
        <v>62.301805631971199</v>
      </c>
      <c r="D334" s="169"/>
    </row>
    <row r="335" spans="1:4">
      <c r="A335" s="170">
        <v>31321</v>
      </c>
      <c r="B335" s="171">
        <v>104.9</v>
      </c>
      <c r="C335" s="169">
        <f t="shared" si="16"/>
        <v>62.962036712849503</v>
      </c>
      <c r="D335" s="169"/>
    </row>
    <row r="336" spans="1:4">
      <c r="A336" s="170">
        <v>31352</v>
      </c>
      <c r="B336" s="171">
        <v>105.5</v>
      </c>
      <c r="C336" s="169">
        <f t="shared" si="16"/>
        <v>63.322162756964943</v>
      </c>
      <c r="D336" s="169"/>
    </row>
    <row r="337" spans="1:4">
      <c r="A337" s="170">
        <v>31382</v>
      </c>
      <c r="B337" s="171">
        <v>106</v>
      </c>
      <c r="C337" s="169">
        <f t="shared" si="16"/>
        <v>63.622267793727808</v>
      </c>
      <c r="D337" s="169"/>
    </row>
    <row r="338" spans="1:4">
      <c r="A338" s="170">
        <v>31413</v>
      </c>
      <c r="B338" s="171">
        <v>105.5</v>
      </c>
      <c r="C338" s="169">
        <f t="shared" si="16"/>
        <v>63.322162756964943</v>
      </c>
      <c r="D338" s="169"/>
    </row>
    <row r="339" spans="1:4">
      <c r="A339" s="170">
        <v>31444</v>
      </c>
      <c r="B339" s="171">
        <v>104.1</v>
      </c>
      <c r="C339" s="169">
        <f t="shared" si="16"/>
        <v>62.481868654028915</v>
      </c>
      <c r="D339" s="169"/>
    </row>
    <row r="340" spans="1:4">
      <c r="A340" s="170">
        <v>31472</v>
      </c>
      <c r="B340" s="171">
        <v>102.8</v>
      </c>
      <c r="C340" s="169">
        <f t="shared" si="16"/>
        <v>61.701595558445455</v>
      </c>
      <c r="D340" s="169"/>
    </row>
    <row r="341" spans="1:4">
      <c r="A341" s="170">
        <v>31503</v>
      </c>
      <c r="B341" s="171">
        <v>102.3</v>
      </c>
      <c r="C341" s="169">
        <f t="shared" si="16"/>
        <v>61.401490521682589</v>
      </c>
      <c r="D341" s="169"/>
    </row>
    <row r="342" spans="1:4">
      <c r="A342" s="170">
        <v>31533</v>
      </c>
      <c r="B342" s="171">
        <v>102.8</v>
      </c>
      <c r="C342" s="169">
        <f t="shared" si="16"/>
        <v>61.701595558445455</v>
      </c>
      <c r="D342" s="169"/>
    </row>
    <row r="343" spans="1:4">
      <c r="A343" s="170">
        <v>31564</v>
      </c>
      <c r="B343" s="171">
        <v>103.1</v>
      </c>
      <c r="C343" s="169">
        <f t="shared" si="16"/>
        <v>61.881658580503171</v>
      </c>
      <c r="D343" s="169"/>
    </row>
    <row r="344" spans="1:4">
      <c r="A344" s="170">
        <v>31594</v>
      </c>
      <c r="B344" s="171">
        <v>102.3</v>
      </c>
      <c r="C344" s="169">
        <f t="shared" si="16"/>
        <v>61.401490521682589</v>
      </c>
      <c r="D344" s="169"/>
    </row>
    <row r="345" spans="1:4">
      <c r="A345" s="170">
        <v>31625</v>
      </c>
      <c r="B345" s="171">
        <v>102.7</v>
      </c>
      <c r="C345" s="169">
        <f t="shared" si="16"/>
        <v>61.641574551092894</v>
      </c>
      <c r="D345" s="169"/>
    </row>
    <row r="346" spans="1:4">
      <c r="A346" s="170">
        <v>31656</v>
      </c>
      <c r="B346" s="171">
        <v>102.9</v>
      </c>
      <c r="C346" s="169">
        <f t="shared" si="16"/>
        <v>61.761616565798036</v>
      </c>
      <c r="D346" s="169"/>
    </row>
    <row r="347" spans="1:4">
      <c r="A347" s="170">
        <v>31686</v>
      </c>
      <c r="B347" s="171">
        <v>103.5</v>
      </c>
      <c r="C347" s="169">
        <f t="shared" si="16"/>
        <v>62.121742609913476</v>
      </c>
      <c r="D347" s="169"/>
    </row>
    <row r="348" spans="1:4">
      <c r="A348" s="170">
        <v>31717</v>
      </c>
      <c r="B348" s="171">
        <v>103.4</v>
      </c>
      <c r="C348" s="169">
        <f t="shared" si="16"/>
        <v>62.061721602560901</v>
      </c>
      <c r="D348" s="169"/>
    </row>
    <row r="349" spans="1:4">
      <c r="A349" s="170">
        <v>31747</v>
      </c>
      <c r="B349" s="171">
        <v>103.6</v>
      </c>
      <c r="C349" s="169">
        <f t="shared" si="16"/>
        <v>62.181763617266043</v>
      </c>
      <c r="D349" s="169"/>
    </row>
    <row r="350" spans="1:4">
      <c r="A350" s="170">
        <v>31778</v>
      </c>
      <c r="B350" s="171">
        <v>104.1</v>
      </c>
      <c r="C350" s="169">
        <f t="shared" si="16"/>
        <v>62.481868654028915</v>
      </c>
      <c r="D350" s="169"/>
    </row>
    <row r="351" spans="1:4">
      <c r="A351" s="170">
        <v>31809</v>
      </c>
      <c r="B351" s="171">
        <v>104.4</v>
      </c>
      <c r="C351" s="169">
        <f t="shared" si="16"/>
        <v>62.661931676086638</v>
      </c>
      <c r="D351" s="169"/>
    </row>
    <row r="352" spans="1:4">
      <c r="A352" s="170">
        <v>31837</v>
      </c>
      <c r="B352" s="171">
        <v>104.5</v>
      </c>
      <c r="C352" s="169">
        <f t="shared" si="16"/>
        <v>62.721952683439206</v>
      </c>
      <c r="D352" s="169"/>
    </row>
    <row r="353" spans="1:4">
      <c r="A353" s="170">
        <v>31868</v>
      </c>
      <c r="B353" s="171">
        <v>105.1</v>
      </c>
      <c r="C353" s="169">
        <f t="shared" si="16"/>
        <v>63.082078727554645</v>
      </c>
      <c r="D353" s="169"/>
    </row>
    <row r="354" spans="1:4">
      <c r="A354" s="170">
        <v>31898</v>
      </c>
      <c r="B354" s="171">
        <v>105.2</v>
      </c>
      <c r="C354" s="169">
        <f t="shared" si="16"/>
        <v>63.142099734907219</v>
      </c>
      <c r="D354" s="169"/>
    </row>
    <row r="355" spans="1:4">
      <c r="A355" s="170">
        <v>31929</v>
      </c>
      <c r="B355" s="171">
        <v>105.5</v>
      </c>
      <c r="C355" s="169">
        <f t="shared" si="16"/>
        <v>63.322162756964943</v>
      </c>
      <c r="D355" s="169"/>
    </row>
    <row r="356" spans="1:4">
      <c r="A356" s="170">
        <v>31959</v>
      </c>
      <c r="B356" s="171">
        <v>105.7</v>
      </c>
      <c r="C356" s="169">
        <f t="shared" si="16"/>
        <v>63.442204771670099</v>
      </c>
      <c r="D356" s="169"/>
    </row>
    <row r="357" spans="1:4">
      <c r="A357" s="170">
        <v>31990</v>
      </c>
      <c r="B357" s="171">
        <v>105.9</v>
      </c>
      <c r="C357" s="169">
        <f t="shared" si="16"/>
        <v>63.562246786375241</v>
      </c>
      <c r="D357" s="169"/>
    </row>
    <row r="358" spans="1:4">
      <c r="A358" s="170">
        <v>32021</v>
      </c>
      <c r="B358" s="171">
        <v>106.2</v>
      </c>
      <c r="C358" s="169">
        <f t="shared" si="16"/>
        <v>63.742309808432964</v>
      </c>
      <c r="D358" s="169"/>
    </row>
    <row r="359" spans="1:4">
      <c r="A359" s="170">
        <v>32051</v>
      </c>
      <c r="B359" s="171">
        <v>106</v>
      </c>
      <c r="C359" s="169">
        <f t="shared" si="16"/>
        <v>63.622267793727808</v>
      </c>
      <c r="D359" s="169"/>
    </row>
    <row r="360" spans="1:4">
      <c r="A360" s="170">
        <v>32082</v>
      </c>
      <c r="B360" s="171">
        <v>106</v>
      </c>
      <c r="C360" s="169">
        <f t="shared" si="16"/>
        <v>63.622267793727808</v>
      </c>
      <c r="D360" s="169"/>
    </row>
    <row r="361" spans="1:4">
      <c r="A361" s="170">
        <v>32112</v>
      </c>
      <c r="B361" s="171">
        <v>105.8</v>
      </c>
      <c r="C361" s="169">
        <f t="shared" si="16"/>
        <v>63.502225779022659</v>
      </c>
      <c r="D361" s="169"/>
    </row>
    <row r="362" spans="1:4">
      <c r="A362" s="170">
        <v>32143</v>
      </c>
      <c r="B362" s="171">
        <v>106.4</v>
      </c>
      <c r="C362" s="169">
        <f t="shared" si="16"/>
        <v>63.862351823138106</v>
      </c>
      <c r="D362" s="169"/>
    </row>
    <row r="363" spans="1:4">
      <c r="A363" s="170">
        <v>32174</v>
      </c>
      <c r="B363" s="171">
        <v>106.3</v>
      </c>
      <c r="C363" s="169">
        <f t="shared" si="16"/>
        <v>63.802330815785524</v>
      </c>
      <c r="D363" s="169"/>
    </row>
    <row r="364" spans="1:4">
      <c r="A364" s="170">
        <v>32203</v>
      </c>
      <c r="B364" s="171">
        <v>106.6</v>
      </c>
      <c r="C364" s="169">
        <f t="shared" si="16"/>
        <v>63.98239383784324</v>
      </c>
      <c r="D364" s="169"/>
    </row>
    <row r="365" spans="1:4">
      <c r="A365" s="170">
        <v>32234</v>
      </c>
      <c r="B365" s="171">
        <v>107</v>
      </c>
      <c r="C365" s="169">
        <f t="shared" si="16"/>
        <v>64.222477867253545</v>
      </c>
      <c r="D365" s="169"/>
    </row>
    <row r="366" spans="1:4">
      <c r="A366" s="170">
        <v>32264</v>
      </c>
      <c r="B366" s="171">
        <v>107.2</v>
      </c>
      <c r="C366" s="169">
        <f t="shared" si="16"/>
        <v>64.342519881958694</v>
      </c>
      <c r="D366" s="169"/>
    </row>
    <row r="367" spans="1:4">
      <c r="A367" s="170">
        <v>32295</v>
      </c>
      <c r="B367" s="171">
        <v>107.5</v>
      </c>
      <c r="C367" s="169">
        <f t="shared" si="16"/>
        <v>64.522582904016417</v>
      </c>
      <c r="D367" s="169"/>
    </row>
    <row r="368" spans="1:4">
      <c r="A368" s="170">
        <v>32325</v>
      </c>
      <c r="B368" s="171">
        <v>108.4</v>
      </c>
      <c r="C368" s="169">
        <f t="shared" si="16"/>
        <v>65.062771970189573</v>
      </c>
      <c r="D368" s="169"/>
    </row>
    <row r="369" spans="1:4">
      <c r="A369" s="170">
        <v>32356</v>
      </c>
      <c r="B369" s="171">
        <v>108.8</v>
      </c>
      <c r="C369" s="169">
        <f t="shared" si="16"/>
        <v>65.302855999599856</v>
      </c>
      <c r="D369" s="169"/>
    </row>
    <row r="370" spans="1:4">
      <c r="A370" s="170">
        <v>32387</v>
      </c>
      <c r="B370" s="171">
        <v>109</v>
      </c>
      <c r="C370" s="169">
        <f t="shared" si="16"/>
        <v>65.422898014305005</v>
      </c>
      <c r="D370" s="169"/>
    </row>
    <row r="371" spans="1:4">
      <c r="A371" s="170">
        <v>32417</v>
      </c>
      <c r="B371" s="171">
        <v>109.2</v>
      </c>
      <c r="C371" s="169">
        <f t="shared" si="16"/>
        <v>65.542940029010168</v>
      </c>
      <c r="D371" s="169"/>
    </row>
    <row r="372" spans="1:4">
      <c r="A372" s="170">
        <v>32448</v>
      </c>
      <c r="B372" s="171">
        <v>109.6</v>
      </c>
      <c r="C372" s="169">
        <f t="shared" si="16"/>
        <v>65.783024058420452</v>
      </c>
      <c r="D372" s="169"/>
    </row>
    <row r="373" spans="1:4">
      <c r="A373" s="170">
        <v>32478</v>
      </c>
      <c r="B373" s="171">
        <v>110</v>
      </c>
      <c r="C373" s="169">
        <f t="shared" si="16"/>
        <v>66.023108087830749</v>
      </c>
      <c r="D373" s="169"/>
    </row>
    <row r="374" spans="1:4">
      <c r="A374" s="170">
        <v>32509</v>
      </c>
      <c r="B374" s="171">
        <v>111.1</v>
      </c>
      <c r="C374" s="169">
        <f t="shared" si="16"/>
        <v>66.683339168709054</v>
      </c>
      <c r="D374" s="169"/>
    </row>
    <row r="375" spans="1:4">
      <c r="A375" s="170">
        <v>32540</v>
      </c>
      <c r="B375" s="171">
        <v>111.9</v>
      </c>
      <c r="C375" s="169">
        <f t="shared" si="16"/>
        <v>67.163507227529635</v>
      </c>
      <c r="D375" s="169"/>
    </row>
    <row r="376" spans="1:4">
      <c r="A376" s="170">
        <v>32568</v>
      </c>
      <c r="B376" s="171">
        <v>112.3</v>
      </c>
      <c r="C376" s="169">
        <f t="shared" si="16"/>
        <v>67.403591256939933</v>
      </c>
      <c r="D376" s="169"/>
    </row>
    <row r="377" spans="1:4">
      <c r="A377" s="170">
        <v>32599</v>
      </c>
      <c r="B377" s="171">
        <v>113.1</v>
      </c>
      <c r="C377" s="169">
        <f t="shared" si="16"/>
        <v>67.883759315760514</v>
      </c>
      <c r="D377" s="169"/>
    </row>
    <row r="378" spans="1:4">
      <c r="A378" s="170">
        <v>32629</v>
      </c>
      <c r="B378" s="171">
        <v>114</v>
      </c>
      <c r="C378" s="169">
        <f t="shared" si="16"/>
        <v>68.423948381933684</v>
      </c>
      <c r="D378" s="169"/>
    </row>
    <row r="379" spans="1:4">
      <c r="A379" s="170">
        <v>32660</v>
      </c>
      <c r="B379" s="171">
        <v>114</v>
      </c>
      <c r="C379" s="169">
        <f t="shared" si="16"/>
        <v>68.423948381933684</v>
      </c>
      <c r="D379" s="169"/>
    </row>
    <row r="380" spans="1:4">
      <c r="A380" s="170">
        <v>32690</v>
      </c>
      <c r="B380" s="171">
        <v>113.8</v>
      </c>
      <c r="C380" s="169">
        <f t="shared" si="16"/>
        <v>68.303906367228535</v>
      </c>
      <c r="D380" s="169"/>
    </row>
    <row r="381" spans="1:4">
      <c r="A381" s="170">
        <v>32721</v>
      </c>
      <c r="B381" s="171">
        <v>113.4</v>
      </c>
      <c r="C381" s="169">
        <f t="shared" si="16"/>
        <v>68.063822337818252</v>
      </c>
      <c r="D381" s="169"/>
    </row>
    <row r="382" spans="1:4">
      <c r="A382" s="170">
        <v>32752</v>
      </c>
      <c r="B382" s="171">
        <v>114</v>
      </c>
      <c r="C382" s="169">
        <f t="shared" si="16"/>
        <v>68.423948381933684</v>
      </c>
      <c r="D382" s="169"/>
    </row>
    <row r="383" spans="1:4">
      <c r="A383" s="170">
        <v>32782</v>
      </c>
      <c r="B383" s="171">
        <v>114.6</v>
      </c>
      <c r="C383" s="169">
        <f t="shared" si="16"/>
        <v>68.784074426049131</v>
      </c>
      <c r="D383" s="169"/>
    </row>
    <row r="384" spans="1:4">
      <c r="A384" s="170">
        <v>32813</v>
      </c>
      <c r="B384" s="171">
        <v>114.8</v>
      </c>
      <c r="C384" s="169">
        <f t="shared" si="16"/>
        <v>68.904116440754265</v>
      </c>
      <c r="D384" s="169"/>
    </row>
    <row r="385" spans="1:4">
      <c r="A385" s="170">
        <v>32843</v>
      </c>
      <c r="B385" s="171">
        <v>115.5</v>
      </c>
      <c r="C385" s="169">
        <f t="shared" si="16"/>
        <v>69.324263492222286</v>
      </c>
      <c r="D385" s="169"/>
    </row>
    <row r="386" spans="1:4">
      <c r="A386" s="170">
        <v>32874</v>
      </c>
      <c r="B386" s="171">
        <v>117.7</v>
      </c>
      <c r="C386" s="169">
        <f t="shared" si="16"/>
        <v>70.644725653978895</v>
      </c>
      <c r="D386" s="169"/>
    </row>
    <row r="387" spans="1:4">
      <c r="A387" s="170">
        <v>32905</v>
      </c>
      <c r="B387" s="171">
        <v>117.6</v>
      </c>
      <c r="C387" s="169">
        <f t="shared" si="16"/>
        <v>70.584704646626321</v>
      </c>
      <c r="D387" s="169"/>
    </row>
    <row r="388" spans="1:4">
      <c r="A388" s="170">
        <v>32933</v>
      </c>
      <c r="B388" s="171">
        <v>117.5</v>
      </c>
      <c r="C388" s="169">
        <f t="shared" si="16"/>
        <v>70.524683639273761</v>
      </c>
      <c r="D388" s="169"/>
    </row>
    <row r="389" spans="1:4">
      <c r="A389" s="170">
        <v>32964</v>
      </c>
      <c r="B389" s="171">
        <v>117.4</v>
      </c>
      <c r="C389" s="169">
        <f t="shared" si="16"/>
        <v>70.464662631921186</v>
      </c>
      <c r="D389" s="169"/>
    </row>
    <row r="390" spans="1:4">
      <c r="A390" s="170">
        <v>32994</v>
      </c>
      <c r="B390" s="171">
        <v>117.5</v>
      </c>
      <c r="C390" s="169">
        <f t="shared" si="16"/>
        <v>70.524683639273761</v>
      </c>
      <c r="D390" s="169"/>
    </row>
    <row r="391" spans="1:4">
      <c r="A391" s="170">
        <v>33025</v>
      </c>
      <c r="B391" s="171">
        <v>117.6</v>
      </c>
      <c r="C391" s="169">
        <f t="shared" si="16"/>
        <v>70.584704646626321</v>
      </c>
      <c r="D391" s="169"/>
    </row>
    <row r="392" spans="1:4">
      <c r="A392" s="170">
        <v>33055</v>
      </c>
      <c r="B392" s="171">
        <v>117.9</v>
      </c>
      <c r="C392" s="169">
        <f t="shared" si="16"/>
        <v>70.764767668684044</v>
      </c>
      <c r="D392" s="169"/>
    </row>
    <row r="393" spans="1:4">
      <c r="A393" s="170">
        <v>33086</v>
      </c>
      <c r="B393" s="171">
        <v>119.2</v>
      </c>
      <c r="C393" s="169">
        <f t="shared" si="16"/>
        <v>71.545040764267497</v>
      </c>
      <c r="D393" s="169"/>
    </row>
    <row r="394" spans="1:4">
      <c r="A394" s="170">
        <v>33117</v>
      </c>
      <c r="B394" s="171">
        <v>120.7</v>
      </c>
      <c r="C394" s="169">
        <f t="shared" si="16"/>
        <v>72.4453558745561</v>
      </c>
      <c r="D394" s="169"/>
    </row>
    <row r="395" spans="1:4">
      <c r="A395" s="170">
        <v>33147</v>
      </c>
      <c r="B395" s="171">
        <v>121.9</v>
      </c>
      <c r="C395" s="169">
        <f t="shared" si="16"/>
        <v>73.165607962786979</v>
      </c>
      <c r="D395" s="169"/>
    </row>
    <row r="396" spans="1:4">
      <c r="A396" s="170">
        <v>33178</v>
      </c>
      <c r="B396" s="171">
        <v>122.6</v>
      </c>
      <c r="C396" s="169">
        <f t="shared" si="16"/>
        <v>73.585755014255</v>
      </c>
      <c r="D396" s="169"/>
    </row>
    <row r="397" spans="1:4">
      <c r="A397" s="170">
        <v>33208</v>
      </c>
      <c r="B397" s="171">
        <v>122</v>
      </c>
      <c r="C397" s="169">
        <f t="shared" si="16"/>
        <v>73.225628970139553</v>
      </c>
      <c r="D397" s="169"/>
    </row>
    <row r="398" spans="1:4">
      <c r="A398" s="170">
        <v>33239</v>
      </c>
      <c r="B398" s="171">
        <v>122.6</v>
      </c>
      <c r="C398" s="169">
        <f t="shared" ref="C398:C461" si="17">+B398/$C$12*100</f>
        <v>73.585755014255</v>
      </c>
      <c r="D398" s="169"/>
    </row>
    <row r="399" spans="1:4">
      <c r="A399" s="170">
        <v>33270</v>
      </c>
      <c r="B399" s="171">
        <v>121.8</v>
      </c>
      <c r="C399" s="169">
        <f t="shared" si="17"/>
        <v>73.105586955434404</v>
      </c>
      <c r="D399" s="169"/>
    </row>
    <row r="400" spans="1:4">
      <c r="A400" s="170">
        <v>33298</v>
      </c>
      <c r="B400" s="171">
        <v>121.3</v>
      </c>
      <c r="C400" s="169">
        <f t="shared" si="17"/>
        <v>72.805481918671546</v>
      </c>
      <c r="D400" s="169"/>
    </row>
    <row r="401" spans="1:4">
      <c r="A401" s="170">
        <v>33329</v>
      </c>
      <c r="B401" s="171">
        <v>121.3</v>
      </c>
      <c r="C401" s="169">
        <f t="shared" si="17"/>
        <v>72.805481918671546</v>
      </c>
      <c r="D401" s="169"/>
    </row>
    <row r="402" spans="1:4">
      <c r="A402" s="170">
        <v>33359</v>
      </c>
      <c r="B402" s="171">
        <v>121.6</v>
      </c>
      <c r="C402" s="169">
        <f t="shared" si="17"/>
        <v>72.985544940729255</v>
      </c>
      <c r="D402" s="169"/>
    </row>
    <row r="403" spans="1:4">
      <c r="A403" s="170">
        <v>33390</v>
      </c>
      <c r="B403" s="171">
        <v>121.4</v>
      </c>
      <c r="C403" s="169">
        <f t="shared" si="17"/>
        <v>72.865502926024121</v>
      </c>
      <c r="D403" s="169"/>
    </row>
    <row r="404" spans="1:4">
      <c r="A404" s="170">
        <v>33420</v>
      </c>
      <c r="B404" s="171">
        <v>121.1</v>
      </c>
      <c r="C404" s="169">
        <f t="shared" si="17"/>
        <v>72.685439903966383</v>
      </c>
      <c r="D404" s="169"/>
    </row>
    <row r="405" spans="1:4">
      <c r="A405" s="170">
        <v>33451</v>
      </c>
      <c r="B405" s="171">
        <v>121.3</v>
      </c>
      <c r="C405" s="169">
        <f t="shared" si="17"/>
        <v>72.805481918671546</v>
      </c>
      <c r="D405" s="169"/>
    </row>
    <row r="406" spans="1:4">
      <c r="A406" s="170">
        <v>33482</v>
      </c>
      <c r="B406" s="171">
        <v>121.5</v>
      </c>
      <c r="C406" s="169">
        <f t="shared" si="17"/>
        <v>72.925523933376695</v>
      </c>
      <c r="D406" s="169"/>
    </row>
    <row r="407" spans="1:4">
      <c r="A407" s="170">
        <v>33512</v>
      </c>
      <c r="B407" s="171">
        <v>121.9</v>
      </c>
      <c r="C407" s="169">
        <f t="shared" si="17"/>
        <v>73.165607962786979</v>
      </c>
      <c r="D407" s="169"/>
    </row>
    <row r="408" spans="1:4">
      <c r="A408" s="170">
        <v>33543</v>
      </c>
      <c r="B408" s="171">
        <v>122.4</v>
      </c>
      <c r="C408" s="169">
        <f t="shared" si="17"/>
        <v>73.465712999549851</v>
      </c>
      <c r="D408" s="169"/>
    </row>
    <row r="409" spans="1:4">
      <c r="A409" s="170">
        <v>33573</v>
      </c>
      <c r="B409" s="171">
        <v>122.3</v>
      </c>
      <c r="C409" s="169">
        <f t="shared" si="17"/>
        <v>73.405691992197276</v>
      </c>
      <c r="D409" s="169"/>
    </row>
    <row r="410" spans="1:4">
      <c r="A410" s="170">
        <v>33604</v>
      </c>
      <c r="B410" s="171">
        <v>122</v>
      </c>
      <c r="C410" s="169">
        <f t="shared" si="17"/>
        <v>73.225628970139553</v>
      </c>
      <c r="D410" s="169"/>
    </row>
    <row r="411" spans="1:4">
      <c r="A411" s="170">
        <v>33635</v>
      </c>
      <c r="B411" s="171">
        <v>122.3</v>
      </c>
      <c r="C411" s="169">
        <f t="shared" si="17"/>
        <v>73.405691992197276</v>
      </c>
      <c r="D411" s="169"/>
    </row>
    <row r="412" spans="1:4">
      <c r="A412" s="170">
        <v>33664</v>
      </c>
      <c r="B412" s="171">
        <v>122.4</v>
      </c>
      <c r="C412" s="169">
        <f t="shared" si="17"/>
        <v>73.465712999549851</v>
      </c>
      <c r="D412" s="169"/>
    </row>
    <row r="413" spans="1:4">
      <c r="A413" s="170">
        <v>33695</v>
      </c>
      <c r="B413" s="171">
        <v>122.5</v>
      </c>
      <c r="C413" s="169">
        <f t="shared" si="17"/>
        <v>73.525734006902425</v>
      </c>
      <c r="D413" s="169"/>
    </row>
    <row r="414" spans="1:4">
      <c r="A414" s="170">
        <v>33725</v>
      </c>
      <c r="B414" s="171">
        <v>122.9</v>
      </c>
      <c r="C414" s="169">
        <f t="shared" si="17"/>
        <v>73.765818036312709</v>
      </c>
      <c r="D414" s="169"/>
    </row>
    <row r="415" spans="1:4">
      <c r="A415" s="170">
        <v>33756</v>
      </c>
      <c r="B415" s="171">
        <v>123.4</v>
      </c>
      <c r="C415" s="169">
        <f t="shared" si="17"/>
        <v>74.065923073075595</v>
      </c>
      <c r="D415" s="169"/>
    </row>
    <row r="416" spans="1:4">
      <c r="A416" s="170">
        <v>33786</v>
      </c>
      <c r="B416" s="171">
        <v>123.3</v>
      </c>
      <c r="C416" s="169">
        <f t="shared" si="17"/>
        <v>74.005902065723006</v>
      </c>
      <c r="D416" s="169"/>
    </row>
    <row r="417" spans="1:4">
      <c r="A417" s="170">
        <v>33817</v>
      </c>
      <c r="B417" s="171">
        <v>123.4</v>
      </c>
      <c r="C417" s="169">
        <f t="shared" si="17"/>
        <v>74.065923073075595</v>
      </c>
      <c r="D417" s="169"/>
    </row>
    <row r="418" spans="1:4">
      <c r="A418" s="170">
        <v>33848</v>
      </c>
      <c r="B418" s="171">
        <v>123.7</v>
      </c>
      <c r="C418" s="169">
        <f t="shared" si="17"/>
        <v>74.245986095133304</v>
      </c>
      <c r="D418" s="169"/>
    </row>
    <row r="419" spans="1:4">
      <c r="A419" s="170">
        <v>33878</v>
      </c>
      <c r="B419" s="171">
        <v>124.2</v>
      </c>
      <c r="C419" s="169">
        <f t="shared" si="17"/>
        <v>74.546091131896176</v>
      </c>
      <c r="D419" s="169"/>
    </row>
    <row r="420" spans="1:4">
      <c r="A420" s="170">
        <v>33909</v>
      </c>
      <c r="B420" s="171">
        <v>124.1</v>
      </c>
      <c r="C420" s="169">
        <f t="shared" si="17"/>
        <v>74.486070124543588</v>
      </c>
      <c r="D420" s="169"/>
    </row>
    <row r="421" spans="1:4">
      <c r="A421" s="170">
        <v>33939</v>
      </c>
      <c r="B421" s="171">
        <v>124.2</v>
      </c>
      <c r="C421" s="169">
        <f t="shared" si="17"/>
        <v>74.546091131896176</v>
      </c>
      <c r="D421" s="169"/>
    </row>
    <row r="422" spans="1:4">
      <c r="A422" s="170">
        <v>33970</v>
      </c>
      <c r="B422" s="171">
        <v>124.4</v>
      </c>
      <c r="C422" s="169">
        <f t="shared" si="17"/>
        <v>74.666133146601325</v>
      </c>
      <c r="D422" s="169"/>
    </row>
    <row r="423" spans="1:4">
      <c r="A423" s="170">
        <v>34001</v>
      </c>
      <c r="B423" s="171">
        <v>124.7</v>
      </c>
      <c r="C423" s="169">
        <f t="shared" si="17"/>
        <v>74.846196168659034</v>
      </c>
      <c r="D423" s="169"/>
    </row>
    <row r="424" spans="1:4">
      <c r="A424" s="170">
        <v>34029</v>
      </c>
      <c r="B424" s="171">
        <v>125</v>
      </c>
      <c r="C424" s="169">
        <f t="shared" si="17"/>
        <v>75.026259190716758</v>
      </c>
      <c r="D424" s="169"/>
    </row>
    <row r="425" spans="1:4">
      <c r="A425" s="170">
        <v>34060</v>
      </c>
      <c r="B425" s="171">
        <v>125.7</v>
      </c>
      <c r="C425" s="169">
        <f t="shared" si="17"/>
        <v>75.446406242184764</v>
      </c>
      <c r="D425" s="169"/>
    </row>
    <row r="426" spans="1:4">
      <c r="A426" s="170">
        <v>34090</v>
      </c>
      <c r="B426" s="171">
        <v>125.7</v>
      </c>
      <c r="C426" s="169">
        <f t="shared" si="17"/>
        <v>75.446406242184764</v>
      </c>
      <c r="D426" s="169"/>
    </row>
    <row r="427" spans="1:4">
      <c r="A427" s="170">
        <v>34121</v>
      </c>
      <c r="B427" s="171">
        <v>125.2</v>
      </c>
      <c r="C427" s="169">
        <f t="shared" si="17"/>
        <v>75.146301205421906</v>
      </c>
      <c r="D427" s="169"/>
    </row>
    <row r="428" spans="1:4">
      <c r="A428" s="170">
        <v>34151</v>
      </c>
      <c r="B428" s="171">
        <v>125.1</v>
      </c>
      <c r="C428" s="169">
        <f t="shared" si="17"/>
        <v>75.086280198069318</v>
      </c>
      <c r="D428" s="169"/>
    </row>
    <row r="429" spans="1:4">
      <c r="A429" s="170">
        <v>34182</v>
      </c>
      <c r="B429" s="171">
        <v>123.9</v>
      </c>
      <c r="C429" s="169">
        <f t="shared" si="17"/>
        <v>74.366028109838453</v>
      </c>
      <c r="D429" s="169"/>
    </row>
    <row r="430" spans="1:4">
      <c r="A430" s="170">
        <v>34213</v>
      </c>
      <c r="B430" s="171">
        <v>124.1</v>
      </c>
      <c r="C430" s="169">
        <f t="shared" si="17"/>
        <v>74.486070124543588</v>
      </c>
      <c r="D430" s="169"/>
    </row>
    <row r="431" spans="1:4">
      <c r="A431" s="170">
        <v>34243</v>
      </c>
      <c r="B431" s="171">
        <v>124.2</v>
      </c>
      <c r="C431" s="169">
        <f t="shared" si="17"/>
        <v>74.546091131896176</v>
      </c>
      <c r="D431" s="169"/>
    </row>
    <row r="432" spans="1:4">
      <c r="A432" s="170">
        <v>34274</v>
      </c>
      <c r="B432" s="171">
        <v>124.4</v>
      </c>
      <c r="C432" s="169">
        <f t="shared" si="17"/>
        <v>74.666133146601325</v>
      </c>
      <c r="D432" s="169"/>
    </row>
    <row r="433" spans="1:4">
      <c r="A433" s="170">
        <v>34304</v>
      </c>
      <c r="B433" s="171">
        <v>124.4</v>
      </c>
      <c r="C433" s="169">
        <f t="shared" si="17"/>
        <v>74.666133146601325</v>
      </c>
      <c r="D433" s="169"/>
    </row>
    <row r="434" spans="1:4">
      <c r="A434" s="170">
        <v>34335</v>
      </c>
      <c r="B434" s="171">
        <v>124.8</v>
      </c>
      <c r="C434" s="169">
        <f t="shared" si="17"/>
        <v>74.906217176011609</v>
      </c>
      <c r="D434" s="169"/>
    </row>
    <row r="435" spans="1:4">
      <c r="A435" s="170">
        <v>34366</v>
      </c>
      <c r="B435" s="171">
        <v>125</v>
      </c>
      <c r="C435" s="169">
        <f t="shared" si="17"/>
        <v>75.026259190716758</v>
      </c>
      <c r="D435" s="169"/>
    </row>
    <row r="436" spans="1:4">
      <c r="A436" s="170">
        <v>34394</v>
      </c>
      <c r="B436" s="171">
        <v>125.1</v>
      </c>
      <c r="C436" s="169">
        <f t="shared" si="17"/>
        <v>75.086280198069318</v>
      </c>
      <c r="D436" s="169"/>
    </row>
    <row r="437" spans="1:4">
      <c r="A437" s="170">
        <v>34425</v>
      </c>
      <c r="B437" s="171">
        <v>125.1</v>
      </c>
      <c r="C437" s="169">
        <f t="shared" si="17"/>
        <v>75.086280198069318</v>
      </c>
      <c r="D437" s="169"/>
    </row>
    <row r="438" spans="1:4">
      <c r="A438" s="170">
        <v>34455</v>
      </c>
      <c r="B438" s="171">
        <v>125.1</v>
      </c>
      <c r="C438" s="169">
        <f t="shared" si="17"/>
        <v>75.086280198069318</v>
      </c>
      <c r="D438" s="169"/>
    </row>
    <row r="439" spans="1:4">
      <c r="A439" s="170">
        <v>34486</v>
      </c>
      <c r="B439" s="171">
        <v>125.2</v>
      </c>
      <c r="C439" s="169">
        <f t="shared" si="17"/>
        <v>75.146301205421906</v>
      </c>
      <c r="D439" s="169"/>
    </row>
    <row r="440" spans="1:4">
      <c r="A440" s="170">
        <v>34516</v>
      </c>
      <c r="B440" s="171">
        <v>125.7</v>
      </c>
      <c r="C440" s="169">
        <f t="shared" si="17"/>
        <v>75.446406242184764</v>
      </c>
      <c r="D440" s="169"/>
    </row>
    <row r="441" spans="1:4">
      <c r="A441" s="170">
        <v>34547</v>
      </c>
      <c r="B441" s="171">
        <v>126.2</v>
      </c>
      <c r="C441" s="169">
        <f t="shared" si="17"/>
        <v>75.746511278947636</v>
      </c>
      <c r="D441" s="169"/>
    </row>
    <row r="442" spans="1:4">
      <c r="A442" s="170">
        <v>34578</v>
      </c>
      <c r="B442" s="171">
        <v>125.9</v>
      </c>
      <c r="C442" s="169">
        <f t="shared" si="17"/>
        <v>75.566448256889913</v>
      </c>
      <c r="D442" s="169"/>
    </row>
    <row r="443" spans="1:4">
      <c r="A443" s="170">
        <v>34608</v>
      </c>
      <c r="B443" s="171">
        <v>125.5</v>
      </c>
      <c r="C443" s="169">
        <f t="shared" si="17"/>
        <v>75.32636422747963</v>
      </c>
      <c r="D443" s="169"/>
    </row>
    <row r="444" spans="1:4">
      <c r="A444" s="170">
        <v>34639</v>
      </c>
      <c r="B444" s="171">
        <v>126.1</v>
      </c>
      <c r="C444" s="169">
        <f t="shared" si="17"/>
        <v>75.686490271595062</v>
      </c>
      <c r="D444" s="169"/>
    </row>
    <row r="445" spans="1:4">
      <c r="A445" s="170">
        <v>34669</v>
      </c>
      <c r="B445" s="171">
        <v>126.6</v>
      </c>
      <c r="C445" s="169">
        <f t="shared" si="17"/>
        <v>75.986595308357934</v>
      </c>
      <c r="D445" s="169"/>
    </row>
    <row r="446" spans="1:4">
      <c r="A446" s="170">
        <v>34700</v>
      </c>
      <c r="B446" s="171">
        <v>126.9</v>
      </c>
      <c r="C446" s="169">
        <f t="shared" si="17"/>
        <v>76.166658330415657</v>
      </c>
      <c r="D446" s="169"/>
    </row>
    <row r="447" spans="1:4">
      <c r="A447" s="170">
        <v>34731</v>
      </c>
      <c r="B447" s="171">
        <v>127.2</v>
      </c>
      <c r="C447" s="169">
        <f t="shared" si="17"/>
        <v>76.346721352473381</v>
      </c>
      <c r="D447" s="169"/>
    </row>
    <row r="448" spans="1:4">
      <c r="A448" s="170">
        <v>34759</v>
      </c>
      <c r="B448" s="171">
        <v>127.4</v>
      </c>
      <c r="C448" s="169">
        <f t="shared" si="17"/>
        <v>76.46676336717853</v>
      </c>
      <c r="D448" s="169"/>
    </row>
    <row r="449" spans="1:4">
      <c r="A449" s="170">
        <v>34790</v>
      </c>
      <c r="B449" s="171">
        <v>127.7</v>
      </c>
      <c r="C449" s="169">
        <f t="shared" si="17"/>
        <v>76.646826389236239</v>
      </c>
      <c r="D449" s="169"/>
    </row>
    <row r="450" spans="1:4">
      <c r="A450" s="170">
        <v>34820</v>
      </c>
      <c r="B450" s="171">
        <v>127.8</v>
      </c>
      <c r="C450" s="169">
        <f t="shared" si="17"/>
        <v>76.706847396588813</v>
      </c>
      <c r="D450" s="169"/>
    </row>
    <row r="451" spans="1:4">
      <c r="A451" s="170">
        <v>34851</v>
      </c>
      <c r="B451" s="171">
        <v>127.8</v>
      </c>
      <c r="C451" s="169">
        <f t="shared" si="17"/>
        <v>76.706847396588813</v>
      </c>
      <c r="D451" s="169"/>
    </row>
    <row r="452" spans="1:4">
      <c r="A452" s="170">
        <v>34881</v>
      </c>
      <c r="B452" s="171">
        <v>128</v>
      </c>
      <c r="C452" s="169">
        <f t="shared" si="17"/>
        <v>76.826889411293962</v>
      </c>
      <c r="D452" s="169"/>
    </row>
    <row r="453" spans="1:4">
      <c r="A453" s="170">
        <v>34912</v>
      </c>
      <c r="B453" s="171">
        <v>127.9</v>
      </c>
      <c r="C453" s="169">
        <f t="shared" si="17"/>
        <v>76.766868403941388</v>
      </c>
      <c r="D453" s="169"/>
    </row>
    <row r="454" spans="1:4">
      <c r="A454" s="170">
        <v>34943</v>
      </c>
      <c r="B454" s="171">
        <v>128.1</v>
      </c>
      <c r="C454" s="169">
        <f t="shared" si="17"/>
        <v>76.886910418646522</v>
      </c>
      <c r="D454" s="169"/>
    </row>
    <row r="455" spans="1:4">
      <c r="A455" s="170">
        <v>34973</v>
      </c>
      <c r="B455" s="171">
        <v>128.4</v>
      </c>
      <c r="C455" s="169">
        <f t="shared" si="17"/>
        <v>77.06697344070426</v>
      </c>
      <c r="D455" s="169"/>
    </row>
    <row r="456" spans="1:4">
      <c r="A456" s="170">
        <v>35004</v>
      </c>
      <c r="B456" s="171">
        <v>128.69999999999999</v>
      </c>
      <c r="C456" s="169">
        <f t="shared" si="17"/>
        <v>77.247036462761969</v>
      </c>
      <c r="D456" s="169"/>
    </row>
    <row r="457" spans="1:4">
      <c r="A457" s="170">
        <v>35034</v>
      </c>
      <c r="B457" s="171">
        <v>129.30000000000001</v>
      </c>
      <c r="C457" s="169">
        <f t="shared" si="17"/>
        <v>77.60716250687743</v>
      </c>
      <c r="D457" s="169"/>
    </row>
    <row r="458" spans="1:4">
      <c r="A458" s="170">
        <v>35065</v>
      </c>
      <c r="B458" s="171">
        <v>129.69999999999999</v>
      </c>
      <c r="C458" s="169">
        <f t="shared" si="17"/>
        <v>77.847246536287699</v>
      </c>
      <c r="D458" s="169"/>
    </row>
    <row r="459" spans="1:4">
      <c r="A459" s="170">
        <v>35096</v>
      </c>
      <c r="B459" s="171">
        <v>129.69999999999999</v>
      </c>
      <c r="C459" s="169">
        <f t="shared" si="17"/>
        <v>77.847246536287699</v>
      </c>
      <c r="D459" s="169"/>
    </row>
    <row r="460" spans="1:4">
      <c r="A460" s="170">
        <v>35125</v>
      </c>
      <c r="B460" s="171">
        <v>130.5</v>
      </c>
      <c r="C460" s="169">
        <f t="shared" si="17"/>
        <v>78.327414595108294</v>
      </c>
      <c r="D460" s="169"/>
    </row>
    <row r="461" spans="1:4">
      <c r="A461" s="170">
        <v>35156</v>
      </c>
      <c r="B461" s="171">
        <v>130.9</v>
      </c>
      <c r="C461" s="169">
        <f t="shared" si="17"/>
        <v>78.567498624518592</v>
      </c>
      <c r="D461" s="169"/>
    </row>
    <row r="462" spans="1:4">
      <c r="A462" s="170">
        <v>35186</v>
      </c>
      <c r="B462" s="171">
        <v>130.9</v>
      </c>
      <c r="C462" s="169">
        <f t="shared" ref="C462:C525" si="18">+B462/$C$12*100</f>
        <v>78.567498624518592</v>
      </c>
      <c r="D462" s="169"/>
    </row>
    <row r="463" spans="1:4">
      <c r="A463" s="170">
        <v>35217</v>
      </c>
      <c r="B463" s="171">
        <v>131.30000000000001</v>
      </c>
      <c r="C463" s="169">
        <f t="shared" si="18"/>
        <v>78.80758265392889</v>
      </c>
      <c r="D463" s="169"/>
    </row>
    <row r="464" spans="1:4">
      <c r="A464" s="170">
        <v>35247</v>
      </c>
      <c r="B464" s="171">
        <v>131.19999999999999</v>
      </c>
      <c r="C464" s="169">
        <f t="shared" si="18"/>
        <v>78.747561646576301</v>
      </c>
      <c r="D464" s="169"/>
    </row>
    <row r="465" spans="1:4">
      <c r="A465" s="170">
        <v>35278</v>
      </c>
      <c r="B465" s="171">
        <v>131.6</v>
      </c>
      <c r="C465" s="169">
        <f t="shared" si="18"/>
        <v>78.987645675986599</v>
      </c>
      <c r="D465" s="169"/>
    </row>
    <row r="466" spans="1:4">
      <c r="A466" s="170">
        <v>35309</v>
      </c>
      <c r="B466" s="171">
        <v>131.69999999999999</v>
      </c>
      <c r="C466" s="169">
        <f t="shared" si="18"/>
        <v>79.047666683339173</v>
      </c>
      <c r="D466" s="169"/>
    </row>
    <row r="467" spans="1:4">
      <c r="A467" s="170">
        <v>35339</v>
      </c>
      <c r="B467" s="171">
        <v>132.4</v>
      </c>
      <c r="C467" s="169">
        <f t="shared" si="18"/>
        <v>79.467813734807194</v>
      </c>
      <c r="D467" s="169"/>
    </row>
    <row r="468" spans="1:4">
      <c r="A468" s="170">
        <v>35370</v>
      </c>
      <c r="B468" s="171">
        <v>132.5</v>
      </c>
      <c r="C468" s="169">
        <f t="shared" si="18"/>
        <v>79.527834742159769</v>
      </c>
      <c r="D468" s="169"/>
    </row>
    <row r="469" spans="1:4">
      <c r="A469" s="170">
        <v>35400</v>
      </c>
      <c r="B469" s="171">
        <v>132.9</v>
      </c>
      <c r="C469" s="169">
        <f t="shared" si="18"/>
        <v>79.767918771570052</v>
      </c>
      <c r="D469" s="169"/>
    </row>
    <row r="470" spans="1:4">
      <c r="A470" s="170">
        <v>35431</v>
      </c>
      <c r="B470" s="171">
        <v>133</v>
      </c>
      <c r="C470" s="169">
        <f t="shared" si="18"/>
        <v>79.827939778922627</v>
      </c>
      <c r="D470" s="169"/>
    </row>
    <row r="471" spans="1:4">
      <c r="A471" s="170">
        <v>35462</v>
      </c>
      <c r="B471" s="171">
        <v>132.69999999999999</v>
      </c>
      <c r="C471" s="169">
        <f t="shared" si="18"/>
        <v>79.647876756864903</v>
      </c>
      <c r="D471" s="169"/>
    </row>
    <row r="472" spans="1:4">
      <c r="A472" s="170">
        <v>35490</v>
      </c>
      <c r="B472" s="171">
        <v>132.6</v>
      </c>
      <c r="C472" s="169">
        <f t="shared" si="18"/>
        <v>79.587855749512343</v>
      </c>
      <c r="D472" s="169"/>
    </row>
    <row r="473" spans="1:4">
      <c r="A473" s="170">
        <v>35521</v>
      </c>
      <c r="B473" s="171">
        <v>131.80000000000001</v>
      </c>
      <c r="C473" s="169">
        <f t="shared" si="18"/>
        <v>79.107687690691748</v>
      </c>
      <c r="D473" s="169"/>
    </row>
    <row r="474" spans="1:4">
      <c r="A474" s="170">
        <v>35551</v>
      </c>
      <c r="B474" s="171">
        <v>131.5</v>
      </c>
      <c r="C474" s="169">
        <f t="shared" si="18"/>
        <v>78.927624668634039</v>
      </c>
      <c r="D474" s="169"/>
    </row>
    <row r="475" spans="1:4">
      <c r="A475" s="170">
        <v>35582</v>
      </c>
      <c r="B475" s="171">
        <v>131.30000000000001</v>
      </c>
      <c r="C475" s="169">
        <f t="shared" si="18"/>
        <v>78.80758265392889</v>
      </c>
      <c r="D475" s="169"/>
    </row>
    <row r="476" spans="1:4">
      <c r="A476" s="170">
        <v>35612</v>
      </c>
      <c r="B476" s="171">
        <v>130.9</v>
      </c>
      <c r="C476" s="169">
        <f t="shared" si="18"/>
        <v>78.567498624518592</v>
      </c>
      <c r="D476" s="169"/>
    </row>
    <row r="477" spans="1:4">
      <c r="A477" s="170">
        <v>35643</v>
      </c>
      <c r="B477" s="171">
        <v>131.4</v>
      </c>
      <c r="C477" s="169">
        <f t="shared" si="18"/>
        <v>78.867603661281464</v>
      </c>
      <c r="D477" s="169"/>
    </row>
    <row r="478" spans="1:4">
      <c r="A478" s="170">
        <v>35674</v>
      </c>
      <c r="B478" s="171">
        <v>131.6</v>
      </c>
      <c r="C478" s="169">
        <f t="shared" si="18"/>
        <v>78.987645675986599</v>
      </c>
      <c r="D478" s="169"/>
    </row>
    <row r="479" spans="1:4">
      <c r="A479" s="170">
        <v>35704</v>
      </c>
      <c r="B479" s="171">
        <v>131.9</v>
      </c>
      <c r="C479" s="169">
        <f t="shared" si="18"/>
        <v>79.167708698044322</v>
      </c>
      <c r="D479" s="169"/>
    </row>
    <row r="480" spans="1:4">
      <c r="A480" s="170">
        <v>35735</v>
      </c>
      <c r="B480" s="171">
        <v>131.6</v>
      </c>
      <c r="C480" s="169">
        <f t="shared" si="18"/>
        <v>78.987645675986599</v>
      </c>
      <c r="D480" s="169"/>
    </row>
    <row r="481" spans="1:4">
      <c r="A481" s="170">
        <v>35765</v>
      </c>
      <c r="B481" s="171">
        <v>131.4</v>
      </c>
      <c r="C481" s="169">
        <f t="shared" si="18"/>
        <v>78.867603661281464</v>
      </c>
      <c r="D481" s="169"/>
    </row>
    <row r="482" spans="1:4">
      <c r="A482" s="170">
        <v>35796</v>
      </c>
      <c r="B482" s="171">
        <v>130.69999999999999</v>
      </c>
      <c r="C482" s="169">
        <f t="shared" si="18"/>
        <v>78.447456609813443</v>
      </c>
      <c r="D482" s="169"/>
    </row>
    <row r="483" spans="1:4">
      <c r="A483" s="170">
        <v>35827</v>
      </c>
      <c r="B483" s="171">
        <v>130.6</v>
      </c>
      <c r="C483" s="169">
        <f t="shared" si="18"/>
        <v>78.387435602460869</v>
      </c>
      <c r="D483" s="169"/>
    </row>
    <row r="484" spans="1:4">
      <c r="A484" s="170">
        <v>35855</v>
      </c>
      <c r="B484" s="171">
        <v>130.5</v>
      </c>
      <c r="C484" s="169">
        <f t="shared" si="18"/>
        <v>78.327414595108294</v>
      </c>
      <c r="D484" s="169"/>
    </row>
    <row r="485" spans="1:4">
      <c r="A485" s="170">
        <v>35886</v>
      </c>
      <c r="B485" s="171">
        <v>130.69999999999999</v>
      </c>
      <c r="C485" s="169">
        <f t="shared" si="18"/>
        <v>78.447456609813443</v>
      </c>
      <c r="D485" s="169"/>
    </row>
    <row r="486" spans="1:4">
      <c r="A486" s="170">
        <v>35916</v>
      </c>
      <c r="B486" s="171">
        <v>130.5</v>
      </c>
      <c r="C486" s="169">
        <f t="shared" si="18"/>
        <v>78.327414595108294</v>
      </c>
      <c r="D486" s="169"/>
    </row>
    <row r="487" spans="1:4">
      <c r="A487" s="170">
        <v>35947</v>
      </c>
      <c r="B487" s="171">
        <v>130.4</v>
      </c>
      <c r="C487" s="169">
        <f t="shared" si="18"/>
        <v>78.267393587755734</v>
      </c>
      <c r="D487" s="169"/>
    </row>
    <row r="488" spans="1:4">
      <c r="A488" s="170">
        <v>35977</v>
      </c>
      <c r="B488" s="171">
        <v>130.69999999999999</v>
      </c>
      <c r="C488" s="169">
        <f t="shared" si="18"/>
        <v>78.447456609813443</v>
      </c>
      <c r="D488" s="169"/>
    </row>
    <row r="489" spans="1:4">
      <c r="A489" s="170">
        <v>36008</v>
      </c>
      <c r="B489" s="171">
        <v>130.4</v>
      </c>
      <c r="C489" s="169">
        <f t="shared" si="18"/>
        <v>78.267393587755734</v>
      </c>
      <c r="D489" s="169"/>
    </row>
    <row r="490" spans="1:4">
      <c r="A490" s="170">
        <v>36039</v>
      </c>
      <c r="B490" s="171">
        <v>130.4</v>
      </c>
      <c r="C490" s="169">
        <f t="shared" si="18"/>
        <v>78.267393587755734</v>
      </c>
      <c r="D490" s="169"/>
    </row>
    <row r="491" spans="1:4">
      <c r="A491" s="170">
        <v>36069</v>
      </c>
      <c r="B491" s="171">
        <v>130.9</v>
      </c>
      <c r="C491" s="169">
        <f t="shared" si="18"/>
        <v>78.567498624518592</v>
      </c>
      <c r="D491" s="169"/>
    </row>
    <row r="492" spans="1:4">
      <c r="A492" s="170">
        <v>36100</v>
      </c>
      <c r="B492" s="171">
        <v>130.80000000000001</v>
      </c>
      <c r="C492" s="169">
        <f t="shared" si="18"/>
        <v>78.507477617166018</v>
      </c>
      <c r="D492" s="169"/>
    </row>
    <row r="493" spans="1:4">
      <c r="A493" s="170">
        <v>36130</v>
      </c>
      <c r="B493" s="171">
        <v>131.30000000000001</v>
      </c>
      <c r="C493" s="169">
        <f t="shared" si="18"/>
        <v>78.80758265392889</v>
      </c>
      <c r="D493" s="169"/>
    </row>
    <row r="494" spans="1:4">
      <c r="A494" s="170">
        <v>36161</v>
      </c>
      <c r="B494" s="171">
        <v>131.69999999999999</v>
      </c>
      <c r="C494" s="169">
        <f t="shared" si="18"/>
        <v>79.047666683339173</v>
      </c>
      <c r="D494" s="169"/>
    </row>
    <row r="495" spans="1:4">
      <c r="A495" s="170">
        <v>36192</v>
      </c>
      <c r="B495" s="171">
        <v>131.19999999999999</v>
      </c>
      <c r="C495" s="169">
        <f t="shared" si="18"/>
        <v>78.747561646576301</v>
      </c>
      <c r="D495" s="169"/>
    </row>
    <row r="496" spans="1:4">
      <c r="A496" s="170">
        <v>36220</v>
      </c>
      <c r="B496" s="171">
        <v>131.5</v>
      </c>
      <c r="C496" s="169">
        <f t="shared" si="18"/>
        <v>78.927624668634039</v>
      </c>
      <c r="D496" s="169"/>
    </row>
    <row r="497" spans="1:4">
      <c r="A497" s="170">
        <v>36251</v>
      </c>
      <c r="B497" s="171">
        <v>132.1</v>
      </c>
      <c r="C497" s="169">
        <f t="shared" si="18"/>
        <v>79.287750712749457</v>
      </c>
      <c r="D497" s="169"/>
    </row>
    <row r="498" spans="1:4">
      <c r="A498" s="170">
        <v>36281</v>
      </c>
      <c r="B498" s="171">
        <v>132.30000000000001</v>
      </c>
      <c r="C498" s="169">
        <f t="shared" si="18"/>
        <v>79.40779272745462</v>
      </c>
      <c r="D498" s="169"/>
    </row>
    <row r="499" spans="1:4">
      <c r="A499" s="170">
        <v>36312</v>
      </c>
      <c r="B499" s="171">
        <v>132.4</v>
      </c>
      <c r="C499" s="169">
        <f t="shared" si="18"/>
        <v>79.467813734807194</v>
      </c>
      <c r="D499" s="169"/>
    </row>
    <row r="500" spans="1:4">
      <c r="A500" s="170">
        <v>36342</v>
      </c>
      <c r="B500" s="171">
        <v>132.69999999999999</v>
      </c>
      <c r="C500" s="169">
        <f t="shared" si="18"/>
        <v>79.647876756864903</v>
      </c>
      <c r="D500" s="169"/>
    </row>
    <row r="501" spans="1:4">
      <c r="A501" s="170">
        <v>36373</v>
      </c>
      <c r="B501" s="171">
        <v>133.5</v>
      </c>
      <c r="C501" s="169">
        <f t="shared" si="18"/>
        <v>80.128044815685499</v>
      </c>
      <c r="D501" s="169"/>
    </row>
    <row r="502" spans="1:4">
      <c r="A502" s="170">
        <v>36404</v>
      </c>
      <c r="B502" s="171">
        <v>134.5</v>
      </c>
      <c r="C502" s="169">
        <f t="shared" si="18"/>
        <v>80.728254889211229</v>
      </c>
      <c r="D502" s="169"/>
    </row>
    <row r="503" spans="1:4">
      <c r="A503" s="170">
        <v>36434</v>
      </c>
      <c r="B503" s="171">
        <v>134.4</v>
      </c>
      <c r="C503" s="169">
        <f t="shared" si="18"/>
        <v>80.668233881858669</v>
      </c>
      <c r="D503" s="169"/>
    </row>
    <row r="504" spans="1:4">
      <c r="A504" s="170">
        <v>36465</v>
      </c>
      <c r="B504" s="171">
        <v>134.9</v>
      </c>
      <c r="C504" s="169">
        <f t="shared" si="18"/>
        <v>80.968338918621527</v>
      </c>
      <c r="D504" s="169"/>
    </row>
    <row r="505" spans="1:4">
      <c r="A505" s="170">
        <v>36495</v>
      </c>
      <c r="B505" s="171">
        <v>135.19999999999999</v>
      </c>
      <c r="C505" s="169">
        <f t="shared" si="18"/>
        <v>81.148401940679236</v>
      </c>
      <c r="D505" s="169"/>
    </row>
    <row r="506" spans="1:4">
      <c r="A506" s="170">
        <v>36526</v>
      </c>
      <c r="B506" s="171">
        <v>135.19999999999999</v>
      </c>
      <c r="C506" s="169">
        <f t="shared" si="18"/>
        <v>81.148401940679236</v>
      </c>
      <c r="D506" s="169"/>
    </row>
    <row r="507" spans="1:4">
      <c r="A507" s="170">
        <v>36557</v>
      </c>
      <c r="B507" s="171">
        <v>136.6</v>
      </c>
      <c r="C507" s="169">
        <f t="shared" si="18"/>
        <v>81.988696043615278</v>
      </c>
      <c r="D507" s="169"/>
    </row>
    <row r="508" spans="1:4">
      <c r="A508" s="170">
        <v>36586</v>
      </c>
      <c r="B508" s="171">
        <v>137.30000000000001</v>
      </c>
      <c r="C508" s="169">
        <f t="shared" si="18"/>
        <v>82.408843095083299</v>
      </c>
      <c r="D508" s="169"/>
    </row>
    <row r="509" spans="1:4">
      <c r="A509" s="170">
        <v>36617</v>
      </c>
      <c r="B509" s="171">
        <v>136.9</v>
      </c>
      <c r="C509" s="169">
        <f t="shared" si="18"/>
        <v>82.168759065672987</v>
      </c>
      <c r="D509" s="169"/>
    </row>
    <row r="510" spans="1:4">
      <c r="A510" s="170">
        <v>36647</v>
      </c>
      <c r="B510" s="171">
        <v>137</v>
      </c>
      <c r="C510" s="169">
        <f t="shared" si="18"/>
        <v>82.228780073025561</v>
      </c>
      <c r="D510" s="169"/>
    </row>
    <row r="511" spans="1:4">
      <c r="A511" s="170">
        <v>36678</v>
      </c>
      <c r="B511" s="171">
        <v>138.1</v>
      </c>
      <c r="C511" s="169">
        <f t="shared" si="18"/>
        <v>82.889011153903866</v>
      </c>
      <c r="D511" s="169"/>
    </row>
    <row r="512" spans="1:4">
      <c r="A512" s="170">
        <v>36708</v>
      </c>
      <c r="B512" s="171">
        <v>138.19999999999999</v>
      </c>
      <c r="C512" s="169">
        <f t="shared" si="18"/>
        <v>82.94903216125644</v>
      </c>
      <c r="D512" s="169"/>
    </row>
    <row r="513" spans="1:4">
      <c r="A513" s="170">
        <v>36739</v>
      </c>
      <c r="B513" s="171">
        <v>137.9</v>
      </c>
      <c r="C513" s="169">
        <f t="shared" si="18"/>
        <v>82.768969139198731</v>
      </c>
      <c r="D513" s="169"/>
    </row>
    <row r="514" spans="1:4">
      <c r="A514" s="170">
        <v>36770</v>
      </c>
      <c r="B514" s="171">
        <v>139</v>
      </c>
      <c r="C514" s="169">
        <f t="shared" si="18"/>
        <v>83.429200220077036</v>
      </c>
      <c r="D514" s="169"/>
    </row>
    <row r="515" spans="1:4">
      <c r="A515" s="170">
        <v>36800</v>
      </c>
      <c r="B515" s="171">
        <v>139.5</v>
      </c>
      <c r="C515" s="169">
        <f t="shared" si="18"/>
        <v>83.729305256839908</v>
      </c>
      <c r="D515" s="169"/>
    </row>
    <row r="516" spans="1:4">
      <c r="A516" s="170">
        <v>36831</v>
      </c>
      <c r="B516" s="171">
        <v>140.19999999999999</v>
      </c>
      <c r="C516" s="169">
        <f t="shared" si="18"/>
        <v>84.1494523083079</v>
      </c>
      <c r="D516" s="169"/>
    </row>
    <row r="517" spans="1:4">
      <c r="A517" s="170">
        <v>36861</v>
      </c>
      <c r="B517" s="171">
        <v>140.5</v>
      </c>
      <c r="C517" s="169">
        <f t="shared" si="18"/>
        <v>84.329515330365638</v>
      </c>
      <c r="D517" s="169"/>
    </row>
    <row r="518" spans="1:4">
      <c r="A518" s="170">
        <v>36892</v>
      </c>
      <c r="B518" s="171">
        <v>141.69999999999999</v>
      </c>
      <c r="C518" s="169">
        <f t="shared" si="18"/>
        <v>85.049767418596517</v>
      </c>
      <c r="D518" s="169"/>
    </row>
    <row r="519" spans="1:4">
      <c r="A519" s="170">
        <v>36923</v>
      </c>
      <c r="B519" s="171">
        <v>141.9</v>
      </c>
      <c r="C519" s="169">
        <f t="shared" si="18"/>
        <v>85.169809433301666</v>
      </c>
      <c r="D519" s="169"/>
    </row>
    <row r="520" spans="1:4">
      <c r="A520" s="170">
        <v>36951</v>
      </c>
      <c r="B520" s="171">
        <v>141.19999999999999</v>
      </c>
      <c r="C520" s="169">
        <f t="shared" si="18"/>
        <v>84.749662381833645</v>
      </c>
      <c r="D520" s="169"/>
    </row>
    <row r="521" spans="1:4">
      <c r="A521" s="170">
        <v>36982</v>
      </c>
      <c r="B521" s="171">
        <v>142</v>
      </c>
      <c r="C521" s="169">
        <f t="shared" si="18"/>
        <v>85.229830440654226</v>
      </c>
      <c r="D521" s="169"/>
    </row>
    <row r="522" spans="1:4">
      <c r="A522" s="170">
        <v>37012</v>
      </c>
      <c r="B522" s="171">
        <v>142.30000000000001</v>
      </c>
      <c r="C522" s="169">
        <f t="shared" si="18"/>
        <v>85.409893462711963</v>
      </c>
      <c r="D522" s="169"/>
    </row>
    <row r="523" spans="1:4">
      <c r="A523" s="170">
        <v>37043</v>
      </c>
      <c r="B523" s="171">
        <v>141.80000000000001</v>
      </c>
      <c r="C523" s="169">
        <f t="shared" si="18"/>
        <v>85.109788425949091</v>
      </c>
      <c r="D523" s="169"/>
    </row>
    <row r="524" spans="1:4">
      <c r="A524" s="170">
        <v>37073</v>
      </c>
      <c r="B524" s="171">
        <v>140.1</v>
      </c>
      <c r="C524" s="169">
        <f t="shared" si="18"/>
        <v>84.08943130095534</v>
      </c>
      <c r="D524" s="169"/>
    </row>
    <row r="525" spans="1:4">
      <c r="A525" s="170">
        <v>37104</v>
      </c>
      <c r="B525" s="171">
        <v>140.69999999999999</v>
      </c>
      <c r="C525" s="169">
        <f t="shared" si="18"/>
        <v>84.449557345070772</v>
      </c>
      <c r="D525" s="169"/>
    </row>
    <row r="526" spans="1:4">
      <c r="A526" s="170">
        <v>37135</v>
      </c>
      <c r="B526" s="171">
        <v>141.30000000000001</v>
      </c>
      <c r="C526" s="169">
        <f t="shared" ref="C526:C589" si="19">+B526/$C$12*100</f>
        <v>84.809683389186233</v>
      </c>
      <c r="D526" s="169"/>
    </row>
    <row r="527" spans="1:4">
      <c r="A527" s="170">
        <v>37165</v>
      </c>
      <c r="B527" s="171">
        <v>139</v>
      </c>
      <c r="C527" s="169">
        <f t="shared" si="19"/>
        <v>83.429200220077036</v>
      </c>
      <c r="D527" s="169"/>
    </row>
    <row r="528" spans="1:4">
      <c r="A528" s="170">
        <v>37196</v>
      </c>
      <c r="B528" s="171">
        <v>138.5</v>
      </c>
      <c r="C528" s="169">
        <f t="shared" si="19"/>
        <v>83.129095183314163</v>
      </c>
      <c r="D528" s="169"/>
    </row>
    <row r="529" spans="1:4">
      <c r="A529" s="170">
        <v>37226</v>
      </c>
      <c r="B529" s="171">
        <v>138</v>
      </c>
      <c r="C529" s="169">
        <f t="shared" si="19"/>
        <v>82.828990146551291</v>
      </c>
      <c r="D529" s="169"/>
    </row>
    <row r="530" spans="1:4">
      <c r="A530" s="170">
        <v>37257</v>
      </c>
      <c r="B530" s="171">
        <v>137.69999999999999</v>
      </c>
      <c r="C530" s="169">
        <f t="shared" si="19"/>
        <v>82.648927124493582</v>
      </c>
      <c r="D530" s="169"/>
    </row>
    <row r="531" spans="1:4">
      <c r="A531" s="170">
        <v>37288</v>
      </c>
      <c r="B531" s="171">
        <v>138</v>
      </c>
      <c r="C531" s="169">
        <f t="shared" si="19"/>
        <v>82.828990146551291</v>
      </c>
      <c r="D531" s="169"/>
    </row>
    <row r="532" spans="1:4">
      <c r="A532" s="170">
        <v>37316</v>
      </c>
      <c r="B532" s="171">
        <v>138.80000000000001</v>
      </c>
      <c r="C532" s="169">
        <f t="shared" si="19"/>
        <v>83.309158205371887</v>
      </c>
      <c r="D532" s="169"/>
    </row>
    <row r="533" spans="1:4">
      <c r="A533" s="170">
        <v>37347</v>
      </c>
      <c r="B533" s="171">
        <v>138.69999999999999</v>
      </c>
      <c r="C533" s="169">
        <f t="shared" si="19"/>
        <v>83.249137198019312</v>
      </c>
      <c r="D533" s="169"/>
    </row>
    <row r="534" spans="1:4">
      <c r="A534" s="170">
        <v>37377</v>
      </c>
      <c r="B534" s="171">
        <v>138.4</v>
      </c>
      <c r="C534" s="169">
        <f t="shared" si="19"/>
        <v>83.069074175961603</v>
      </c>
      <c r="D534" s="169"/>
    </row>
    <row r="535" spans="1:4">
      <c r="A535" s="170">
        <v>37408</v>
      </c>
      <c r="B535" s="171">
        <v>138.80000000000001</v>
      </c>
      <c r="C535" s="169">
        <f t="shared" si="19"/>
        <v>83.309158205371887</v>
      </c>
      <c r="D535" s="169"/>
    </row>
    <row r="536" spans="1:4">
      <c r="A536" s="170">
        <v>37438</v>
      </c>
      <c r="B536" s="171">
        <v>138.6</v>
      </c>
      <c r="C536" s="169">
        <f t="shared" si="19"/>
        <v>83.189116190666738</v>
      </c>
      <c r="D536" s="169"/>
    </row>
    <row r="537" spans="1:4">
      <c r="A537" s="170">
        <v>37469</v>
      </c>
      <c r="B537" s="171">
        <v>138.69999999999999</v>
      </c>
      <c r="C537" s="169">
        <f t="shared" si="19"/>
        <v>83.249137198019312</v>
      </c>
      <c r="D537" s="169"/>
    </row>
    <row r="538" spans="1:4">
      <c r="A538" s="170">
        <v>37500</v>
      </c>
      <c r="B538" s="171">
        <v>139.19999999999999</v>
      </c>
      <c r="C538" s="169">
        <f t="shared" si="19"/>
        <v>83.54924223478217</v>
      </c>
      <c r="D538" s="169"/>
    </row>
    <row r="539" spans="1:4">
      <c r="A539" s="170">
        <v>37530</v>
      </c>
      <c r="B539" s="171">
        <v>140</v>
      </c>
      <c r="C539" s="169">
        <f t="shared" si="19"/>
        <v>84.029410293602766</v>
      </c>
      <c r="D539" s="169"/>
    </row>
    <row r="540" spans="1:4">
      <c r="A540" s="170">
        <v>37561</v>
      </c>
      <c r="B540" s="171">
        <v>140</v>
      </c>
      <c r="C540" s="169">
        <f t="shared" si="19"/>
        <v>84.029410293602766</v>
      </c>
      <c r="D540" s="169"/>
    </row>
    <row r="541" spans="1:4">
      <c r="A541" s="170">
        <v>37591</v>
      </c>
      <c r="B541" s="171">
        <v>139.69999999999999</v>
      </c>
      <c r="C541" s="169">
        <f t="shared" si="19"/>
        <v>83.849347271545042</v>
      </c>
      <c r="D541" s="169"/>
    </row>
    <row r="542" spans="1:4">
      <c r="A542" s="170">
        <v>37622</v>
      </c>
      <c r="B542" s="171">
        <v>141.1</v>
      </c>
      <c r="C542" s="169">
        <f t="shared" si="19"/>
        <v>84.68964137448107</v>
      </c>
      <c r="D542" s="169"/>
    </row>
    <row r="543" spans="1:4">
      <c r="A543" s="170">
        <v>37653</v>
      </c>
      <c r="B543" s="171">
        <v>142.69999999999999</v>
      </c>
      <c r="C543" s="169">
        <f t="shared" si="19"/>
        <v>85.649977492122247</v>
      </c>
      <c r="D543" s="169"/>
    </row>
    <row r="544" spans="1:4">
      <c r="A544" s="170">
        <v>37681</v>
      </c>
      <c r="B544" s="171">
        <v>144</v>
      </c>
      <c r="C544" s="169">
        <f t="shared" si="19"/>
        <v>86.4302505877057</v>
      </c>
      <c r="D544" s="169"/>
    </row>
    <row r="545" spans="1:4">
      <c r="A545" s="170">
        <v>37712</v>
      </c>
      <c r="B545" s="171">
        <v>142.19999999999999</v>
      </c>
      <c r="C545" s="169">
        <f t="shared" si="19"/>
        <v>85.349872455359375</v>
      </c>
      <c r="D545" s="169"/>
    </row>
    <row r="546" spans="1:4">
      <c r="A546" s="170">
        <v>37742</v>
      </c>
      <c r="B546" s="171">
        <v>141.9</v>
      </c>
      <c r="C546" s="169">
        <f t="shared" si="19"/>
        <v>85.169809433301666</v>
      </c>
      <c r="D546" s="169"/>
    </row>
    <row r="547" spans="1:4">
      <c r="A547" s="170">
        <v>37773</v>
      </c>
      <c r="B547" s="171">
        <v>142.69999999999999</v>
      </c>
      <c r="C547" s="169">
        <f t="shared" si="19"/>
        <v>85.649977492122247</v>
      </c>
      <c r="D547" s="169"/>
    </row>
    <row r="548" spans="1:4">
      <c r="A548" s="170">
        <v>37803</v>
      </c>
      <c r="B548" s="171">
        <v>142.80000000000001</v>
      </c>
      <c r="C548" s="169">
        <f t="shared" si="19"/>
        <v>85.709998499474821</v>
      </c>
      <c r="D548" s="169"/>
    </row>
    <row r="549" spans="1:4">
      <c r="A549" s="170">
        <v>37834</v>
      </c>
      <c r="B549" s="171">
        <v>143.69999999999999</v>
      </c>
      <c r="C549" s="169">
        <f t="shared" si="19"/>
        <v>86.250187565647977</v>
      </c>
      <c r="D549" s="169"/>
    </row>
    <row r="550" spans="1:4">
      <c r="A550" s="170">
        <v>37865</v>
      </c>
      <c r="B550" s="171">
        <v>144</v>
      </c>
      <c r="C550" s="169">
        <f t="shared" si="19"/>
        <v>86.4302505877057</v>
      </c>
      <c r="D550" s="169"/>
    </row>
    <row r="551" spans="1:4">
      <c r="A551" s="170">
        <v>37895</v>
      </c>
      <c r="B551" s="171">
        <v>144.80000000000001</v>
      </c>
      <c r="C551" s="169">
        <f t="shared" si="19"/>
        <v>86.910418646526296</v>
      </c>
      <c r="D551" s="169"/>
    </row>
    <row r="552" spans="1:4">
      <c r="A552" s="170">
        <v>37926</v>
      </c>
      <c r="B552" s="171">
        <v>144.6</v>
      </c>
      <c r="C552" s="169">
        <f t="shared" si="19"/>
        <v>86.790376631821147</v>
      </c>
      <c r="D552" s="169"/>
    </row>
    <row r="553" spans="1:4">
      <c r="A553" s="170">
        <v>37956</v>
      </c>
      <c r="B553" s="171">
        <v>145.1</v>
      </c>
      <c r="C553" s="169">
        <f t="shared" si="19"/>
        <v>87.090481668584005</v>
      </c>
      <c r="D553" s="169"/>
    </row>
    <row r="554" spans="1:4">
      <c r="A554" s="170">
        <v>37987</v>
      </c>
      <c r="B554" s="171">
        <v>145.9</v>
      </c>
      <c r="C554" s="169">
        <f t="shared" si="19"/>
        <v>87.5706497274046</v>
      </c>
      <c r="D554" s="169"/>
    </row>
    <row r="555" spans="1:4">
      <c r="A555" s="170">
        <v>38018</v>
      </c>
      <c r="B555" s="171">
        <v>145.80000000000001</v>
      </c>
      <c r="C555" s="169">
        <f t="shared" si="19"/>
        <v>87.510628720052026</v>
      </c>
      <c r="D555" s="169"/>
    </row>
    <row r="556" spans="1:4">
      <c r="A556" s="170">
        <v>38047</v>
      </c>
      <c r="B556" s="171">
        <v>146.19999999999999</v>
      </c>
      <c r="C556" s="169">
        <f t="shared" si="19"/>
        <v>87.750712749462309</v>
      </c>
      <c r="D556" s="169"/>
    </row>
    <row r="557" spans="1:4">
      <c r="A557" s="170">
        <v>38078</v>
      </c>
      <c r="B557" s="171">
        <v>147.19999999999999</v>
      </c>
      <c r="C557" s="169">
        <f t="shared" si="19"/>
        <v>88.350922822988039</v>
      </c>
      <c r="D557" s="169"/>
    </row>
    <row r="558" spans="1:4">
      <c r="A558" s="170">
        <v>38108</v>
      </c>
      <c r="B558" s="171">
        <v>148.4</v>
      </c>
      <c r="C558" s="169">
        <f t="shared" si="19"/>
        <v>89.071174911218947</v>
      </c>
      <c r="D558" s="169"/>
    </row>
    <row r="559" spans="1:4">
      <c r="A559" s="170">
        <v>38139</v>
      </c>
      <c r="B559" s="171">
        <v>148.4</v>
      </c>
      <c r="C559" s="169">
        <f t="shared" si="19"/>
        <v>89.071174911218947</v>
      </c>
      <c r="D559" s="169"/>
    </row>
    <row r="560" spans="1:4">
      <c r="A560" s="170">
        <v>38169</v>
      </c>
      <c r="B560" s="171">
        <v>148.19999999999999</v>
      </c>
      <c r="C560" s="169">
        <f t="shared" si="19"/>
        <v>88.951132896513784</v>
      </c>
      <c r="D560" s="169"/>
    </row>
    <row r="561" spans="1:4">
      <c r="A561" s="170">
        <v>38200</v>
      </c>
      <c r="B561" s="171">
        <v>148.6</v>
      </c>
      <c r="C561" s="169">
        <f t="shared" si="19"/>
        <v>89.191216925924081</v>
      </c>
      <c r="D561" s="169"/>
    </row>
    <row r="562" spans="1:4">
      <c r="A562" s="170">
        <v>38231</v>
      </c>
      <c r="B562" s="171">
        <v>148.80000000000001</v>
      </c>
      <c r="C562" s="169">
        <f t="shared" si="19"/>
        <v>89.31125894062923</v>
      </c>
      <c r="D562" s="169"/>
    </row>
    <row r="563" spans="1:4">
      <c r="A563" s="170">
        <v>38261</v>
      </c>
      <c r="B563" s="171">
        <v>151.19999999999999</v>
      </c>
      <c r="C563" s="169">
        <f t="shared" si="19"/>
        <v>90.751763117090974</v>
      </c>
      <c r="D563" s="169"/>
    </row>
    <row r="564" spans="1:4">
      <c r="A564" s="170">
        <v>38292</v>
      </c>
      <c r="B564" s="171">
        <v>152.1</v>
      </c>
      <c r="C564" s="169">
        <f t="shared" si="19"/>
        <v>91.291952183264144</v>
      </c>
      <c r="D564" s="169"/>
    </row>
    <row r="565" spans="1:4">
      <c r="A565" s="170">
        <v>38322</v>
      </c>
      <c r="B565" s="171">
        <v>151.4</v>
      </c>
      <c r="C565" s="169">
        <f t="shared" si="19"/>
        <v>90.871805131796137</v>
      </c>
      <c r="D565" s="169"/>
    </row>
    <row r="566" spans="1:4">
      <c r="A566" s="170">
        <v>38353</v>
      </c>
      <c r="B566" s="171">
        <v>151.9</v>
      </c>
      <c r="C566" s="169">
        <f t="shared" si="19"/>
        <v>91.171910168559009</v>
      </c>
      <c r="D566" s="169"/>
    </row>
    <row r="567" spans="1:4">
      <c r="A567" s="170">
        <v>38384</v>
      </c>
      <c r="B567" s="171">
        <v>152.69999999999999</v>
      </c>
      <c r="C567" s="169">
        <f t="shared" si="19"/>
        <v>91.65207822737959</v>
      </c>
      <c r="D567" s="169"/>
    </row>
    <row r="568" spans="1:4">
      <c r="A568" s="170">
        <v>38412</v>
      </c>
      <c r="B568" s="171">
        <v>153.69999999999999</v>
      </c>
      <c r="C568" s="169">
        <f t="shared" si="19"/>
        <v>92.25228830090532</v>
      </c>
      <c r="D568" s="169"/>
    </row>
    <row r="569" spans="1:4">
      <c r="A569" s="170">
        <v>38443</v>
      </c>
      <c r="B569" s="171">
        <v>154.19999999999999</v>
      </c>
      <c r="C569" s="169">
        <f t="shared" si="19"/>
        <v>92.552393337668178</v>
      </c>
      <c r="D569" s="169"/>
    </row>
    <row r="570" spans="1:4">
      <c r="A570" s="170">
        <v>38473</v>
      </c>
      <c r="B570" s="171">
        <v>153.9</v>
      </c>
      <c r="C570" s="169">
        <f t="shared" si="19"/>
        <v>92.372330315610469</v>
      </c>
      <c r="D570" s="169"/>
    </row>
    <row r="571" spans="1:4">
      <c r="A571" s="170">
        <v>38504</v>
      </c>
      <c r="B571" s="171">
        <v>153.9</v>
      </c>
      <c r="C571" s="169">
        <f t="shared" si="19"/>
        <v>92.372330315610469</v>
      </c>
      <c r="D571" s="169"/>
    </row>
    <row r="572" spans="1:4">
      <c r="A572" s="170">
        <v>38534</v>
      </c>
      <c r="B572" s="171">
        <v>155</v>
      </c>
      <c r="C572" s="169">
        <f t="shared" si="19"/>
        <v>93.032561396488774</v>
      </c>
      <c r="D572" s="169"/>
    </row>
    <row r="573" spans="1:4">
      <c r="A573" s="170">
        <v>38565</v>
      </c>
      <c r="B573" s="171">
        <v>156.30000000000001</v>
      </c>
      <c r="C573" s="169">
        <f t="shared" si="19"/>
        <v>93.812834492072241</v>
      </c>
      <c r="D573" s="169"/>
    </row>
    <row r="574" spans="1:4">
      <c r="A574" s="170">
        <v>38596</v>
      </c>
      <c r="B574" s="171">
        <v>158.80000000000001</v>
      </c>
      <c r="C574" s="169">
        <f t="shared" si="19"/>
        <v>95.313359675886574</v>
      </c>
      <c r="D574" s="169"/>
    </row>
    <row r="575" spans="1:4">
      <c r="A575" s="170">
        <v>38626</v>
      </c>
      <c r="B575" s="171">
        <v>160.5</v>
      </c>
      <c r="C575" s="169">
        <f t="shared" si="19"/>
        <v>96.333716800880325</v>
      </c>
      <c r="D575" s="169"/>
    </row>
    <row r="576" spans="1:4">
      <c r="A576" s="170">
        <v>38657</v>
      </c>
      <c r="B576" s="171">
        <v>158.69999999999999</v>
      </c>
      <c r="C576" s="169">
        <f t="shared" si="19"/>
        <v>95.253338668533985</v>
      </c>
      <c r="D576" s="169"/>
    </row>
    <row r="577" spans="1:4">
      <c r="A577" s="170">
        <v>38687</v>
      </c>
      <c r="B577" s="171">
        <v>159.6</v>
      </c>
      <c r="C577" s="169">
        <f t="shared" si="19"/>
        <v>95.793527734707155</v>
      </c>
      <c r="D577" s="169"/>
    </row>
    <row r="578" spans="1:4">
      <c r="A578" s="170">
        <v>38718</v>
      </c>
      <c r="B578" s="171">
        <v>160.5</v>
      </c>
      <c r="C578" s="169">
        <f t="shared" si="19"/>
        <v>96.333716800880325</v>
      </c>
      <c r="D578" s="169"/>
    </row>
    <row r="579" spans="1:4">
      <c r="A579" s="170">
        <v>38749</v>
      </c>
      <c r="B579" s="171">
        <v>158.69999999999999</v>
      </c>
      <c r="C579" s="169">
        <f t="shared" si="19"/>
        <v>95.253338668533985</v>
      </c>
      <c r="D579" s="169"/>
    </row>
    <row r="580" spans="1:4">
      <c r="A580" s="170">
        <v>38777</v>
      </c>
      <c r="B580" s="171">
        <v>159.30000000000001</v>
      </c>
      <c r="C580" s="169">
        <f t="shared" si="19"/>
        <v>95.613464712649446</v>
      </c>
      <c r="D580" s="169"/>
    </row>
    <row r="581" spans="1:4">
      <c r="A581" s="170">
        <v>38808</v>
      </c>
      <c r="B581" s="171">
        <v>160.6</v>
      </c>
      <c r="C581" s="169">
        <f t="shared" si="19"/>
        <v>96.393737808232885</v>
      </c>
      <c r="D581" s="169"/>
    </row>
    <row r="582" spans="1:4">
      <c r="A582" s="170">
        <v>38838</v>
      </c>
      <c r="B582" s="171">
        <v>160.6</v>
      </c>
      <c r="C582" s="169">
        <f t="shared" si="19"/>
        <v>96.393737808232885</v>
      </c>
      <c r="D582" s="169"/>
    </row>
    <row r="583" spans="1:4">
      <c r="A583" s="170">
        <v>38869</v>
      </c>
      <c r="B583" s="171">
        <v>161.4</v>
      </c>
      <c r="C583" s="169">
        <f t="shared" si="19"/>
        <v>96.87390586705348</v>
      </c>
      <c r="D583" s="169"/>
    </row>
    <row r="584" spans="1:4">
      <c r="A584" s="170">
        <v>38899</v>
      </c>
      <c r="B584" s="171">
        <v>161</v>
      </c>
      <c r="C584" s="169">
        <f t="shared" si="19"/>
        <v>96.633821837643183</v>
      </c>
      <c r="D584" s="169"/>
    </row>
    <row r="585" spans="1:4">
      <c r="A585" s="170">
        <v>38930</v>
      </c>
      <c r="B585" s="171">
        <v>162.1</v>
      </c>
      <c r="C585" s="169">
        <f t="shared" si="19"/>
        <v>97.294052918521487</v>
      </c>
      <c r="D585" s="169"/>
    </row>
    <row r="586" spans="1:4">
      <c r="A586" s="170">
        <v>38961</v>
      </c>
      <c r="B586" s="171">
        <v>160.19999999999999</v>
      </c>
      <c r="C586" s="169">
        <f t="shared" si="19"/>
        <v>96.153653778822587</v>
      </c>
      <c r="D586" s="169"/>
    </row>
    <row r="587" spans="1:4">
      <c r="A587" s="170">
        <v>38991</v>
      </c>
      <c r="B587" s="171">
        <v>158.69999999999999</v>
      </c>
      <c r="C587" s="169">
        <f t="shared" si="19"/>
        <v>95.253338668533985</v>
      </c>
      <c r="D587" s="169"/>
    </row>
    <row r="588" spans="1:4">
      <c r="A588" s="170">
        <v>39022</v>
      </c>
      <c r="B588" s="171">
        <v>160</v>
      </c>
      <c r="C588" s="169">
        <f t="shared" si="19"/>
        <v>96.033611764117438</v>
      </c>
      <c r="D588" s="169"/>
    </row>
    <row r="589" spans="1:4">
      <c r="A589" s="170">
        <v>39052</v>
      </c>
      <c r="B589" s="171">
        <v>161.1</v>
      </c>
      <c r="C589" s="169">
        <f t="shared" si="19"/>
        <v>96.693842844995743</v>
      </c>
      <c r="D589" s="169"/>
    </row>
    <row r="590" spans="1:4">
      <c r="A590" s="170">
        <v>39083</v>
      </c>
      <c r="B590" s="171">
        <v>160.9</v>
      </c>
      <c r="C590" s="169">
        <f t="shared" ref="C590:C653" si="20">+B590/$C$12*100</f>
        <v>96.573800830290608</v>
      </c>
      <c r="D590" s="169"/>
    </row>
    <row r="591" spans="1:4">
      <c r="A591" s="170">
        <v>39114</v>
      </c>
      <c r="B591" s="171">
        <v>162.69999999999999</v>
      </c>
      <c r="C591" s="169">
        <f t="shared" si="20"/>
        <v>97.654178962636934</v>
      </c>
      <c r="D591" s="169"/>
    </row>
    <row r="592" spans="1:4">
      <c r="A592" s="170">
        <v>39142</v>
      </c>
      <c r="B592" s="171">
        <v>164.1</v>
      </c>
      <c r="C592" s="169">
        <f t="shared" si="20"/>
        <v>98.494473065572947</v>
      </c>
      <c r="D592" s="169"/>
    </row>
    <row r="593" spans="1:4">
      <c r="A593" s="170">
        <v>39173</v>
      </c>
      <c r="B593" s="171">
        <v>165.3</v>
      </c>
      <c r="C593" s="169">
        <f t="shared" si="20"/>
        <v>99.214725153803855</v>
      </c>
      <c r="D593" s="169"/>
    </row>
    <row r="594" spans="1:4">
      <c r="A594" s="170">
        <v>39203</v>
      </c>
      <c r="B594" s="171">
        <v>166</v>
      </c>
      <c r="C594" s="169">
        <f t="shared" si="20"/>
        <v>99.634872205271847</v>
      </c>
      <c r="D594" s="169"/>
    </row>
    <row r="595" spans="1:4">
      <c r="A595" s="170">
        <v>39234</v>
      </c>
      <c r="B595" s="171">
        <v>166.1</v>
      </c>
      <c r="C595" s="169">
        <f t="shared" si="20"/>
        <v>99.694893212624422</v>
      </c>
      <c r="D595" s="169"/>
    </row>
    <row r="596" spans="1:4">
      <c r="A596" s="170">
        <v>39264</v>
      </c>
      <c r="B596" s="171">
        <v>167.2</v>
      </c>
      <c r="C596" s="169">
        <f t="shared" si="20"/>
        <v>100.35512429350273</v>
      </c>
      <c r="D596" s="169"/>
    </row>
    <row r="597" spans="1:4">
      <c r="A597" s="170">
        <v>39295</v>
      </c>
      <c r="B597" s="171">
        <v>166</v>
      </c>
      <c r="C597" s="169">
        <f t="shared" si="20"/>
        <v>99.634872205271847</v>
      </c>
      <c r="D597" s="169"/>
    </row>
    <row r="598" spans="1:4">
      <c r="A598" s="170">
        <v>39326</v>
      </c>
      <c r="B598" s="171">
        <v>167.6</v>
      </c>
      <c r="C598" s="169">
        <f t="shared" si="20"/>
        <v>100.59520832291302</v>
      </c>
      <c r="D598" s="169"/>
    </row>
    <row r="599" spans="1:4">
      <c r="A599" s="170">
        <v>39356</v>
      </c>
      <c r="B599" s="171">
        <v>169.3</v>
      </c>
      <c r="C599" s="169">
        <f t="shared" si="20"/>
        <v>101.61556544790677</v>
      </c>
      <c r="D599" s="169"/>
    </row>
    <row r="600" spans="1:4">
      <c r="A600" s="170">
        <v>39387</v>
      </c>
      <c r="B600" s="171">
        <v>172.4</v>
      </c>
      <c r="C600" s="169">
        <f t="shared" si="20"/>
        <v>103.47621667583655</v>
      </c>
      <c r="D600" s="169"/>
    </row>
    <row r="601" spans="1:4">
      <c r="A601" s="170">
        <v>39417</v>
      </c>
      <c r="B601" s="171">
        <v>171.7</v>
      </c>
      <c r="C601" s="169">
        <f t="shared" si="20"/>
        <v>103.05606962436853</v>
      </c>
      <c r="D601" s="169"/>
    </row>
    <row r="602" spans="1:4">
      <c r="A602" s="170">
        <v>39448</v>
      </c>
      <c r="B602" s="171">
        <v>173.3</v>
      </c>
      <c r="C602" s="169">
        <f t="shared" si="20"/>
        <v>104.01640574200972</v>
      </c>
      <c r="D602" s="169"/>
    </row>
    <row r="603" spans="1:4">
      <c r="A603" s="170">
        <v>39479</v>
      </c>
      <c r="B603" s="171">
        <v>173.9</v>
      </c>
      <c r="C603" s="169">
        <f t="shared" si="20"/>
        <v>104.37653178612516</v>
      </c>
      <c r="D603" s="169"/>
    </row>
    <row r="604" spans="1:4">
      <c r="A604" s="170">
        <v>39508</v>
      </c>
      <c r="B604" s="171">
        <v>175.4</v>
      </c>
      <c r="C604" s="169">
        <f t="shared" si="20"/>
        <v>105.27684689641377</v>
      </c>
      <c r="D604" s="169"/>
    </row>
    <row r="605" spans="1:4">
      <c r="A605" s="170">
        <v>39539</v>
      </c>
      <c r="B605" s="171">
        <v>175.9</v>
      </c>
      <c r="C605" s="169">
        <f t="shared" si="20"/>
        <v>105.57695193317662</v>
      </c>
      <c r="D605" s="169"/>
    </row>
    <row r="606" spans="1:4">
      <c r="A606" s="170">
        <v>39569</v>
      </c>
      <c r="B606" s="171">
        <v>178.4</v>
      </c>
      <c r="C606" s="169">
        <f t="shared" si="20"/>
        <v>107.07747711699096</v>
      </c>
      <c r="D606" s="169"/>
    </row>
    <row r="607" spans="1:4">
      <c r="A607" s="170">
        <v>39600</v>
      </c>
      <c r="B607" s="171">
        <v>181.2</v>
      </c>
      <c r="C607" s="169">
        <f t="shared" si="20"/>
        <v>108.758065322863</v>
      </c>
      <c r="D607" s="169"/>
    </row>
    <row r="608" spans="1:4">
      <c r="A608" s="170">
        <v>39630</v>
      </c>
      <c r="B608" s="171">
        <v>183.4</v>
      </c>
      <c r="C608" s="169">
        <f t="shared" si="20"/>
        <v>110.07852748461964</v>
      </c>
      <c r="D608" s="169"/>
    </row>
    <row r="609" spans="1:4">
      <c r="A609" s="170">
        <v>39661</v>
      </c>
      <c r="B609" s="171">
        <v>182</v>
      </c>
      <c r="C609" s="169">
        <f t="shared" si="20"/>
        <v>109.23823338168359</v>
      </c>
      <c r="D609" s="169"/>
    </row>
    <row r="610" spans="1:4">
      <c r="A610" s="170">
        <v>39692</v>
      </c>
      <c r="B610" s="171">
        <v>182.7</v>
      </c>
      <c r="C610" s="169">
        <f t="shared" si="20"/>
        <v>109.65838043315162</v>
      </c>
      <c r="D610" s="169"/>
    </row>
    <row r="611" spans="1:4">
      <c r="A611" s="170">
        <v>39722</v>
      </c>
      <c r="B611" s="171">
        <v>178.3</v>
      </c>
      <c r="C611" s="169">
        <f t="shared" si="20"/>
        <v>107.0174561096384</v>
      </c>
      <c r="D611" s="169"/>
    </row>
    <row r="612" spans="1:4">
      <c r="A612" s="170">
        <v>39753</v>
      </c>
      <c r="B612" s="171">
        <v>172.9</v>
      </c>
      <c r="C612" s="169">
        <f t="shared" si="20"/>
        <v>103.77632171259943</v>
      </c>
      <c r="D612" s="169"/>
    </row>
    <row r="613" spans="1:4">
      <c r="A613" s="170">
        <v>39783</v>
      </c>
      <c r="B613" s="171">
        <v>169.7</v>
      </c>
      <c r="C613" s="169">
        <f t="shared" si="20"/>
        <v>101.85564947731707</v>
      </c>
      <c r="D613" s="169"/>
    </row>
    <row r="614" spans="1:4">
      <c r="A614" s="170">
        <v>39814</v>
      </c>
      <c r="B614" s="171">
        <v>170.8</v>
      </c>
      <c r="C614" s="169">
        <f t="shared" si="20"/>
        <v>102.51588055819538</v>
      </c>
      <c r="D614" s="169"/>
    </row>
    <row r="615" spans="1:4">
      <c r="A615" s="170">
        <v>39845</v>
      </c>
      <c r="B615" s="171">
        <v>170.6</v>
      </c>
      <c r="C615" s="169">
        <f t="shared" si="20"/>
        <v>102.39583854349024</v>
      </c>
      <c r="D615" s="169"/>
    </row>
    <row r="616" spans="1:4">
      <c r="A616" s="170">
        <v>39873</v>
      </c>
      <c r="B616" s="171">
        <v>169.1</v>
      </c>
      <c r="C616" s="169">
        <f t="shared" si="20"/>
        <v>101.49552343320163</v>
      </c>
      <c r="D616" s="169"/>
    </row>
    <row r="617" spans="1:4">
      <c r="A617" s="170">
        <v>39904</v>
      </c>
      <c r="B617" s="171">
        <v>170</v>
      </c>
      <c r="C617" s="169">
        <f t="shared" si="20"/>
        <v>102.0357124993748</v>
      </c>
      <c r="D617" s="169"/>
    </row>
    <row r="618" spans="1:4">
      <c r="A618" s="170">
        <v>39934</v>
      </c>
      <c r="B618" s="171">
        <v>170.3</v>
      </c>
      <c r="C618" s="169">
        <f t="shared" si="20"/>
        <v>102.21577552143251</v>
      </c>
      <c r="D618" s="169"/>
    </row>
    <row r="619" spans="1:4">
      <c r="A619" s="170">
        <v>39965</v>
      </c>
      <c r="B619" s="171">
        <v>173.5</v>
      </c>
      <c r="C619" s="169">
        <f t="shared" si="20"/>
        <v>104.13644775671487</v>
      </c>
      <c r="D619" s="169"/>
    </row>
    <row r="620" spans="1:4">
      <c r="A620" s="170">
        <v>39995</v>
      </c>
      <c r="B620" s="171">
        <v>171.5</v>
      </c>
      <c r="C620" s="169">
        <f t="shared" si="20"/>
        <v>102.93602760966338</v>
      </c>
      <c r="D620" s="169"/>
    </row>
    <row r="621" spans="1:4">
      <c r="A621" s="170">
        <v>40026</v>
      </c>
      <c r="B621" s="171">
        <v>173.9</v>
      </c>
      <c r="C621" s="169">
        <f t="shared" si="20"/>
        <v>104.37653178612516</v>
      </c>
      <c r="D621" s="169"/>
    </row>
    <row r="622" spans="1:4">
      <c r="A622" s="170">
        <v>40057</v>
      </c>
      <c r="B622" s="171">
        <v>173.5</v>
      </c>
      <c r="C622" s="169">
        <f t="shared" si="20"/>
        <v>104.13644775671487</v>
      </c>
      <c r="D622" s="169"/>
    </row>
    <row r="623" spans="1:4">
      <c r="A623" s="170">
        <v>40087</v>
      </c>
      <c r="B623" s="171">
        <v>174.3</v>
      </c>
      <c r="C623" s="169">
        <f t="shared" si="20"/>
        <v>104.61661581553545</v>
      </c>
      <c r="D623" s="169"/>
    </row>
    <row r="624" spans="1:4">
      <c r="A624" s="170">
        <v>40118</v>
      </c>
      <c r="B624" s="171">
        <v>176.6</v>
      </c>
      <c r="C624" s="169">
        <f t="shared" si="20"/>
        <v>105.99709898464462</v>
      </c>
      <c r="D624" s="169"/>
    </row>
    <row r="625" spans="1:4">
      <c r="A625" s="170">
        <v>40148</v>
      </c>
      <c r="B625" s="171">
        <v>177.1</v>
      </c>
      <c r="C625" s="169">
        <f t="shared" si="20"/>
        <v>106.2972040214075</v>
      </c>
      <c r="D625" s="169"/>
    </row>
    <row r="626" spans="1:4">
      <c r="A626" s="170">
        <v>40179</v>
      </c>
      <c r="B626" s="171">
        <v>178.9</v>
      </c>
      <c r="C626" s="169">
        <f t="shared" si="20"/>
        <v>107.37758215375383</v>
      </c>
      <c r="D626" s="169"/>
    </row>
    <row r="627" spans="1:4">
      <c r="A627" s="170">
        <v>40210</v>
      </c>
      <c r="B627" s="171">
        <v>177.7</v>
      </c>
      <c r="C627" s="169">
        <f t="shared" si="20"/>
        <v>106.65733006552294</v>
      </c>
      <c r="D627" s="169"/>
    </row>
    <row r="628" spans="1:4">
      <c r="A628" s="170">
        <v>40238</v>
      </c>
      <c r="B628" s="171">
        <v>178.9</v>
      </c>
      <c r="C628" s="169">
        <f t="shared" si="20"/>
        <v>107.37758215375383</v>
      </c>
      <c r="D628" s="169"/>
    </row>
    <row r="629" spans="1:4">
      <c r="A629" s="170">
        <v>40269</v>
      </c>
      <c r="B629" s="171">
        <v>178.9</v>
      </c>
      <c r="C629" s="169">
        <f t="shared" si="20"/>
        <v>107.37758215375383</v>
      </c>
      <c r="D629" s="169"/>
    </row>
    <row r="630" spans="1:4">
      <c r="A630" s="170">
        <v>40299</v>
      </c>
      <c r="B630" s="171">
        <v>178.9</v>
      </c>
      <c r="C630" s="169">
        <f t="shared" si="20"/>
        <v>107.37758215375383</v>
      </c>
      <c r="D630" s="169"/>
    </row>
    <row r="631" spans="1:4">
      <c r="A631" s="170">
        <v>40330</v>
      </c>
      <c r="B631" s="171">
        <v>178.3</v>
      </c>
      <c r="C631" s="169">
        <f t="shared" si="20"/>
        <v>107.0174561096384</v>
      </c>
      <c r="D631" s="169"/>
    </row>
    <row r="632" spans="1:4">
      <c r="A632" s="170">
        <v>40360</v>
      </c>
      <c r="B632" s="171">
        <v>178.5</v>
      </c>
      <c r="C632" s="169">
        <f t="shared" si="20"/>
        <v>107.13749812434352</v>
      </c>
      <c r="D632" s="169"/>
    </row>
    <row r="633" spans="1:4">
      <c r="A633" s="170">
        <v>40391</v>
      </c>
      <c r="B633" s="171">
        <v>179.4</v>
      </c>
      <c r="C633" s="169">
        <f t="shared" si="20"/>
        <v>107.67768719051669</v>
      </c>
      <c r="D633" s="169"/>
    </row>
    <row r="634" spans="1:4">
      <c r="A634" s="170">
        <v>40422</v>
      </c>
      <c r="B634" s="171">
        <v>180.1</v>
      </c>
      <c r="C634" s="169">
        <f t="shared" si="20"/>
        <v>108.09783424198469</v>
      </c>
      <c r="D634" s="169"/>
    </row>
    <row r="635" spans="1:4">
      <c r="A635" s="170">
        <v>40452</v>
      </c>
      <c r="B635" s="171">
        <v>181.6</v>
      </c>
      <c r="C635" s="169">
        <f t="shared" si="20"/>
        <v>108.9981493522733</v>
      </c>
      <c r="D635" s="169"/>
    </row>
    <row r="636" spans="1:4">
      <c r="A636" s="170">
        <v>40483</v>
      </c>
      <c r="B636" s="171">
        <v>182.4</v>
      </c>
      <c r="C636" s="169">
        <f t="shared" si="20"/>
        <v>109.47831741109388</v>
      </c>
      <c r="D636" s="169"/>
    </row>
    <row r="637" spans="1:4">
      <c r="A637" s="170">
        <v>40513</v>
      </c>
      <c r="B637" s="171">
        <v>183.9</v>
      </c>
      <c r="C637" s="169">
        <f t="shared" si="20"/>
        <v>110.37863252138249</v>
      </c>
      <c r="D637" s="169"/>
    </row>
    <row r="638" spans="1:4">
      <c r="A638" s="170">
        <v>40544</v>
      </c>
      <c r="B638" s="171">
        <v>185.4</v>
      </c>
      <c r="C638" s="169">
        <f t="shared" si="20"/>
        <v>111.2789476316711</v>
      </c>
      <c r="D638" s="169"/>
    </row>
    <row r="639" spans="1:4">
      <c r="A639" s="170">
        <v>40575</v>
      </c>
      <c r="B639" s="171">
        <v>187.3</v>
      </c>
      <c r="C639" s="169">
        <f t="shared" si="20"/>
        <v>112.41934677137</v>
      </c>
      <c r="D639" s="169"/>
    </row>
    <row r="640" spans="1:4">
      <c r="A640" s="170">
        <v>40603</v>
      </c>
      <c r="B640" s="171">
        <v>188.6</v>
      </c>
      <c r="C640" s="169">
        <f t="shared" si="20"/>
        <v>113.19961986695344</v>
      </c>
      <c r="D640" s="169"/>
    </row>
    <row r="641" spans="1:4">
      <c r="A641" s="170">
        <v>40634</v>
      </c>
      <c r="B641" s="171">
        <v>190.2</v>
      </c>
      <c r="C641" s="169">
        <f t="shared" si="20"/>
        <v>114.1599559845946</v>
      </c>
      <c r="D641" s="169"/>
    </row>
    <row r="642" spans="1:4">
      <c r="A642" s="170">
        <v>40664</v>
      </c>
      <c r="B642" s="171">
        <v>191.2</v>
      </c>
      <c r="C642" s="169">
        <f t="shared" si="20"/>
        <v>114.76016605812033</v>
      </c>
      <c r="D642" s="169"/>
    </row>
    <row r="643" spans="1:4">
      <c r="A643" s="170">
        <v>40695</v>
      </c>
      <c r="B643" s="171">
        <v>190.6</v>
      </c>
      <c r="C643" s="169">
        <f t="shared" si="20"/>
        <v>114.4000400140049</v>
      </c>
      <c r="D643" s="169"/>
    </row>
    <row r="644" spans="1:4">
      <c r="A644" s="170">
        <v>40725</v>
      </c>
      <c r="B644" s="171">
        <v>191.3</v>
      </c>
      <c r="C644" s="169">
        <f t="shared" si="20"/>
        <v>114.82018706547292</v>
      </c>
      <c r="D644" s="169"/>
    </row>
    <row r="645" spans="1:4">
      <c r="A645" s="170">
        <v>40756</v>
      </c>
      <c r="B645" s="171">
        <v>191.1</v>
      </c>
      <c r="C645" s="169">
        <f t="shared" si="20"/>
        <v>114.70014505076777</v>
      </c>
      <c r="D645" s="169"/>
    </row>
    <row r="646" spans="1:4">
      <c r="A646" s="170">
        <v>40787</v>
      </c>
      <c r="B646" s="171">
        <v>192.7</v>
      </c>
      <c r="C646" s="169">
        <f t="shared" si="20"/>
        <v>115.66048116840895</v>
      </c>
      <c r="D646" s="169"/>
    </row>
    <row r="647" spans="1:4">
      <c r="A647" s="170">
        <v>40817</v>
      </c>
      <c r="B647" s="171">
        <v>192.4</v>
      </c>
      <c r="C647" s="169">
        <f t="shared" si="20"/>
        <v>115.48041814635124</v>
      </c>
      <c r="D647" s="169"/>
    </row>
    <row r="648" spans="1:4">
      <c r="A648" s="170">
        <v>40848</v>
      </c>
      <c r="B648" s="171">
        <v>192.8</v>
      </c>
      <c r="C648" s="169">
        <f t="shared" si="20"/>
        <v>115.72050217576152</v>
      </c>
      <c r="D648" s="169"/>
    </row>
    <row r="649" spans="1:4">
      <c r="A649" s="170">
        <v>40878</v>
      </c>
      <c r="B649" s="171">
        <v>192.6</v>
      </c>
      <c r="C649" s="169">
        <f t="shared" si="20"/>
        <v>115.60046016105639</v>
      </c>
      <c r="D649" s="169"/>
    </row>
    <row r="650" spans="1:4">
      <c r="A650" s="170">
        <v>40909</v>
      </c>
      <c r="B650" s="171">
        <v>193.2</v>
      </c>
      <c r="C650" s="169">
        <f t="shared" si="20"/>
        <v>115.96058620517182</v>
      </c>
      <c r="D650" s="169"/>
    </row>
    <row r="651" spans="1:4">
      <c r="A651" s="170">
        <v>40940</v>
      </c>
      <c r="B651" s="171">
        <v>193.7</v>
      </c>
      <c r="C651" s="169">
        <f t="shared" si="20"/>
        <v>116.26069124193468</v>
      </c>
      <c r="D651" s="169"/>
    </row>
    <row r="652" spans="1:4">
      <c r="A652" s="170">
        <v>40969</v>
      </c>
      <c r="B652" s="171">
        <v>193.9</v>
      </c>
      <c r="C652" s="169">
        <f t="shared" si="20"/>
        <v>116.38073325663984</v>
      </c>
      <c r="D652" s="169"/>
    </row>
    <row r="653" spans="1:4">
      <c r="A653" s="170">
        <v>41000</v>
      </c>
      <c r="B653" s="171">
        <v>193.5</v>
      </c>
      <c r="C653" s="169">
        <f t="shared" si="20"/>
        <v>116.14064922722953</v>
      </c>
      <c r="D653" s="169"/>
    </row>
    <row r="654" spans="1:4">
      <c r="A654" s="170">
        <v>41030</v>
      </c>
      <c r="B654" s="171">
        <v>192.7</v>
      </c>
      <c r="C654" s="169">
        <f t="shared" ref="C654:C697" si="21">+B654/$C$12*100</f>
        <v>115.66048116840895</v>
      </c>
      <c r="D654" s="169"/>
    </row>
    <row r="655" spans="1:4">
      <c r="A655" s="170">
        <v>41061</v>
      </c>
      <c r="B655" s="171">
        <v>192.1</v>
      </c>
      <c r="C655" s="169">
        <f t="shared" si="21"/>
        <v>115.3003551242935</v>
      </c>
      <c r="D655" s="169"/>
    </row>
    <row r="656" spans="1:4">
      <c r="A656" s="170">
        <v>41091</v>
      </c>
      <c r="B656" s="171">
        <v>192.4</v>
      </c>
      <c r="C656" s="169">
        <f t="shared" si="21"/>
        <v>115.48041814635124</v>
      </c>
      <c r="D656" s="169"/>
    </row>
    <row r="657" spans="1:4">
      <c r="A657" s="170">
        <v>41122</v>
      </c>
      <c r="B657" s="171">
        <v>194.7</v>
      </c>
      <c r="C657" s="169">
        <f t="shared" si="21"/>
        <v>116.86090131546041</v>
      </c>
      <c r="D657" s="169"/>
    </row>
    <row r="658" spans="1:4">
      <c r="A658" s="170">
        <v>41153</v>
      </c>
      <c r="B658" s="171">
        <v>196.6</v>
      </c>
      <c r="C658" s="169">
        <f t="shared" si="21"/>
        <v>118.00130045515931</v>
      </c>
      <c r="D658" s="169"/>
    </row>
    <row r="659" spans="1:4">
      <c r="A659" s="170">
        <v>41183</v>
      </c>
      <c r="B659" s="171">
        <v>196.9</v>
      </c>
      <c r="C659" s="169">
        <f t="shared" si="21"/>
        <v>118.18136347721703</v>
      </c>
      <c r="D659" s="169"/>
    </row>
    <row r="660" spans="1:4">
      <c r="A660" s="170">
        <v>41214</v>
      </c>
      <c r="B660" s="171">
        <v>195.5</v>
      </c>
      <c r="C660" s="169">
        <f t="shared" si="21"/>
        <v>117.34106937428102</v>
      </c>
      <c r="D660" s="169"/>
    </row>
    <row r="661" spans="1:4">
      <c r="A661" s="170">
        <v>41244</v>
      </c>
      <c r="B661" s="171">
        <v>195.3</v>
      </c>
      <c r="C661" s="169">
        <f t="shared" si="21"/>
        <v>117.22102735957587</v>
      </c>
      <c r="D661" s="169"/>
    </row>
    <row r="662" spans="1:4">
      <c r="A662" s="170">
        <v>41275</v>
      </c>
      <c r="B662" s="171">
        <v>196</v>
      </c>
      <c r="C662" s="169">
        <f t="shared" si="21"/>
        <v>117.64117441104386</v>
      </c>
      <c r="D662" s="169"/>
    </row>
    <row r="663" spans="1:4">
      <c r="A663" s="170">
        <v>41306</v>
      </c>
      <c r="B663" s="171">
        <v>197.1</v>
      </c>
      <c r="C663" s="169">
        <f t="shared" si="21"/>
        <v>118.30140549192218</v>
      </c>
      <c r="D663" s="169"/>
    </row>
    <row r="664" spans="1:4">
      <c r="A664" s="170">
        <v>41334</v>
      </c>
      <c r="B664" s="171">
        <v>196.1</v>
      </c>
      <c r="C664" s="169">
        <f t="shared" si="21"/>
        <v>117.70119541839645</v>
      </c>
      <c r="D664" s="169"/>
    </row>
    <row r="665" spans="1:4">
      <c r="A665" s="170">
        <v>41365</v>
      </c>
      <c r="B665" s="171">
        <v>194.7</v>
      </c>
      <c r="C665" s="169">
        <f t="shared" si="21"/>
        <v>116.86090131546041</v>
      </c>
      <c r="D665" s="169"/>
    </row>
    <row r="666" spans="1:4">
      <c r="A666" s="170">
        <v>41395</v>
      </c>
      <c r="B666" s="171">
        <v>196.1</v>
      </c>
      <c r="C666" s="169">
        <f t="shared" si="21"/>
        <v>117.70119541839645</v>
      </c>
      <c r="D666" s="169"/>
    </row>
    <row r="667" spans="1:4">
      <c r="A667" s="170">
        <v>41426</v>
      </c>
      <c r="B667" s="171">
        <v>196.4</v>
      </c>
      <c r="C667" s="169">
        <f t="shared" si="21"/>
        <v>117.88125844045416</v>
      </c>
      <c r="D667" s="169"/>
    </row>
    <row r="668" spans="1:4">
      <c r="A668" s="170">
        <v>41456</v>
      </c>
      <c r="B668" s="171">
        <v>196.4</v>
      </c>
      <c r="C668" s="169">
        <f t="shared" si="21"/>
        <v>117.88125844045416</v>
      </c>
      <c r="D668" s="169"/>
    </row>
    <row r="669" spans="1:4">
      <c r="A669" s="170">
        <v>41487</v>
      </c>
      <c r="B669" s="171">
        <v>197</v>
      </c>
      <c r="C669" s="169">
        <f t="shared" si="21"/>
        <v>118.24138448456961</v>
      </c>
      <c r="D669" s="169"/>
    </row>
    <row r="670" spans="1:4">
      <c r="A670" s="170">
        <v>41518</v>
      </c>
      <c r="B670" s="171">
        <v>197</v>
      </c>
      <c r="C670" s="169">
        <f t="shared" si="21"/>
        <v>118.24138448456961</v>
      </c>
      <c r="D670" s="169"/>
    </row>
    <row r="671" spans="1:4">
      <c r="A671" s="170">
        <v>41548</v>
      </c>
      <c r="B671" s="171">
        <v>197.4</v>
      </c>
      <c r="C671" s="169">
        <f t="shared" si="21"/>
        <v>118.48146851397992</v>
      </c>
      <c r="D671" s="169"/>
    </row>
    <row r="672" spans="1:4">
      <c r="A672" s="170">
        <v>41579</v>
      </c>
      <c r="B672" s="171">
        <v>197.1</v>
      </c>
      <c r="C672" s="169">
        <f t="shared" si="21"/>
        <v>118.30140549192218</v>
      </c>
      <c r="D672" s="169"/>
    </row>
    <row r="673" spans="1:4">
      <c r="A673" s="170">
        <v>41609</v>
      </c>
      <c r="B673" s="171">
        <v>198.2</v>
      </c>
      <c r="C673" s="169">
        <f t="shared" si="21"/>
        <v>118.96163657280047</v>
      </c>
      <c r="D673" s="169"/>
    </row>
    <row r="674" spans="1:4">
      <c r="A674" s="170">
        <v>41640</v>
      </c>
      <c r="B674" s="171">
        <v>199.3</v>
      </c>
      <c r="C674" s="169">
        <f t="shared" si="21"/>
        <v>119.62186765367879</v>
      </c>
      <c r="D674" s="169"/>
    </row>
    <row r="675" spans="1:4">
      <c r="A675" s="170">
        <v>41671</v>
      </c>
      <c r="B675" s="171">
        <v>199.5</v>
      </c>
      <c r="C675" s="169">
        <f t="shared" si="21"/>
        <v>119.74190966838394</v>
      </c>
      <c r="D675" s="169"/>
    </row>
    <row r="676" spans="1:4">
      <c r="A676" s="170">
        <v>41699</v>
      </c>
      <c r="B676" s="171">
        <v>200</v>
      </c>
      <c r="C676" s="169">
        <f t="shared" si="21"/>
        <v>120.04201470514681</v>
      </c>
      <c r="D676" s="169"/>
    </row>
    <row r="677" spans="1:4">
      <c r="A677" s="170">
        <v>41730</v>
      </c>
      <c r="B677" s="171">
        <v>200.8</v>
      </c>
      <c r="C677" s="169">
        <f t="shared" si="21"/>
        <v>120.52218276396741</v>
      </c>
      <c r="D677" s="169"/>
    </row>
    <row r="678" spans="1:4">
      <c r="A678" s="170">
        <v>41760</v>
      </c>
      <c r="B678" s="171">
        <v>201.1</v>
      </c>
      <c r="C678" s="169">
        <f t="shared" si="21"/>
        <v>120.7022457860251</v>
      </c>
      <c r="D678" s="169"/>
    </row>
    <row r="679" spans="1:4">
      <c r="A679" s="170">
        <v>41791</v>
      </c>
      <c r="B679" s="171">
        <v>201.9</v>
      </c>
      <c r="C679" s="169">
        <f t="shared" si="21"/>
        <v>121.18241384484571</v>
      </c>
      <c r="D679" s="169"/>
    </row>
    <row r="680" spans="1:4">
      <c r="A680" s="170">
        <v>41821</v>
      </c>
      <c r="B680" s="171">
        <v>201.8</v>
      </c>
      <c r="C680" s="169">
        <f t="shared" si="21"/>
        <v>121.12239283749314</v>
      </c>
      <c r="D680" s="169"/>
    </row>
    <row r="681" spans="1:4">
      <c r="A681" s="170">
        <v>41852</v>
      </c>
      <c r="B681" s="171">
        <v>201.5</v>
      </c>
      <c r="C681" s="169">
        <f t="shared" si="21"/>
        <v>120.9423298154354</v>
      </c>
      <c r="D681" s="169"/>
    </row>
    <row r="682" spans="1:4">
      <c r="A682" s="170">
        <v>41883</v>
      </c>
      <c r="B682" s="171">
        <v>201.3</v>
      </c>
      <c r="C682" s="169">
        <f t="shared" si="21"/>
        <v>120.82228780073028</v>
      </c>
      <c r="D682" s="169"/>
    </row>
    <row r="683" spans="1:4">
      <c r="A683" s="170">
        <v>41913</v>
      </c>
      <c r="B683" s="171">
        <v>200.8</v>
      </c>
      <c r="C683" s="169">
        <f t="shared" si="21"/>
        <v>120.52218276396741</v>
      </c>
      <c r="D683" s="169"/>
    </row>
    <row r="684" spans="1:4">
      <c r="A684" s="170">
        <v>41944</v>
      </c>
      <c r="B684" s="171">
        <v>199.2</v>
      </c>
      <c r="C684" s="169">
        <f t="shared" si="21"/>
        <v>119.5618466463262</v>
      </c>
      <c r="D684" s="169"/>
    </row>
    <row r="685" spans="1:4">
      <c r="A685" s="170">
        <v>41974</v>
      </c>
      <c r="B685" s="171">
        <v>196.7</v>
      </c>
      <c r="C685" s="169">
        <f t="shared" si="21"/>
        <v>118.0613214625119</v>
      </c>
      <c r="D685" s="169"/>
    </row>
    <row r="686" spans="1:4">
      <c r="A686" s="170">
        <v>42005</v>
      </c>
      <c r="B686" s="171">
        <v>192.9</v>
      </c>
      <c r="C686" s="169">
        <f t="shared" si="21"/>
        <v>115.7805231831141</v>
      </c>
      <c r="D686" s="169"/>
    </row>
    <row r="687" spans="1:4">
      <c r="A687" s="170">
        <v>42036</v>
      </c>
      <c r="B687" s="171">
        <v>193</v>
      </c>
      <c r="C687" s="169">
        <f t="shared" si="21"/>
        <v>115.84054419046667</v>
      </c>
      <c r="D687" s="169"/>
    </row>
    <row r="688" spans="1:4">
      <c r="A688" s="170">
        <v>42064</v>
      </c>
      <c r="B688" s="171">
        <v>193.3</v>
      </c>
      <c r="C688" s="169">
        <f t="shared" si="21"/>
        <v>116.02060721252441</v>
      </c>
      <c r="D688" s="169"/>
    </row>
    <row r="689" spans="1:4">
      <c r="A689" s="170">
        <v>42095</v>
      </c>
      <c r="B689" s="171">
        <v>192.2</v>
      </c>
      <c r="C689" s="169">
        <f t="shared" si="21"/>
        <v>115.36037613164606</v>
      </c>
      <c r="D689" s="169"/>
    </row>
    <row r="690" spans="1:4">
      <c r="A690" s="170">
        <v>42125</v>
      </c>
      <c r="B690" s="171">
        <v>195.4</v>
      </c>
      <c r="C690" s="169">
        <f t="shared" si="21"/>
        <v>117.28104836692843</v>
      </c>
      <c r="D690" s="169"/>
    </row>
    <row r="691" spans="1:4">
      <c r="A691" s="170">
        <v>42156</v>
      </c>
      <c r="B691" s="171">
        <v>196.8</v>
      </c>
      <c r="C691" s="169">
        <f t="shared" si="21"/>
        <v>118.12134246986447</v>
      </c>
      <c r="D691" s="169"/>
    </row>
    <row r="692" spans="1:4">
      <c r="A692" s="170">
        <v>42186</v>
      </c>
      <c r="B692" s="171">
        <v>196.4</v>
      </c>
      <c r="C692" s="169">
        <f t="shared" si="21"/>
        <v>117.88125844045416</v>
      </c>
      <c r="D692" s="169"/>
    </row>
    <row r="693" spans="1:4">
      <c r="A693" s="170">
        <v>42217</v>
      </c>
      <c r="B693" s="171">
        <v>195.4</v>
      </c>
      <c r="C693" s="169">
        <f t="shared" si="21"/>
        <v>117.28104836692843</v>
      </c>
      <c r="D693" s="169"/>
    </row>
    <row r="694" spans="1:4">
      <c r="A694" s="170">
        <v>42248</v>
      </c>
      <c r="B694" s="171">
        <v>193.1</v>
      </c>
      <c r="C694" s="169">
        <f t="shared" si="21"/>
        <v>115.90056519781923</v>
      </c>
      <c r="D694" s="169"/>
    </row>
    <row r="695" spans="1:4">
      <c r="A695" s="170">
        <v>42278</v>
      </c>
      <c r="B695" s="171">
        <v>192.5</v>
      </c>
      <c r="C695" s="169">
        <f t="shared" si="21"/>
        <v>115.5404391537038</v>
      </c>
      <c r="D695" s="169"/>
    </row>
    <row r="696" spans="1:4">
      <c r="A696" s="170">
        <v>42309</v>
      </c>
      <c r="B696" s="171">
        <v>192.7</v>
      </c>
      <c r="C696" s="169">
        <f t="shared" si="21"/>
        <v>115.66048116840895</v>
      </c>
      <c r="D696" s="169"/>
    </row>
    <row r="697" spans="1:4">
      <c r="A697" s="170">
        <v>42339</v>
      </c>
      <c r="B697" s="171">
        <v>191.2</v>
      </c>
      <c r="C697" s="169">
        <f t="shared" si="21"/>
        <v>114.76016605812033</v>
      </c>
      <c r="D697" s="169"/>
    </row>
  </sheetData>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P91"/>
  <sheetViews>
    <sheetView zoomScale="55" zoomScaleNormal="55" zoomScalePageLayoutView="55" workbookViewId="0">
      <pane xSplit="1" topLeftCell="B1" activePane="topRight" state="frozen"/>
      <selection pane="topRight" activeCell="J5" sqref="J5:N56"/>
    </sheetView>
  </sheetViews>
  <sheetFormatPr defaultColWidth="11.44140625" defaultRowHeight="14.4"/>
  <cols>
    <col min="1" max="2" width="11.44140625" style="117"/>
    <col min="3" max="7" width="11.44140625" style="145"/>
    <col min="8" max="8" width="16.44140625" style="117" bestFit="1" customWidth="1"/>
    <col min="9" max="14" width="16.44140625" style="117" customWidth="1"/>
    <col min="15" max="15" width="28.44140625" style="117" bestFit="1" customWidth="1"/>
    <col min="16" max="18" width="28.44140625" style="117" customWidth="1"/>
    <col min="19" max="19" width="28.44140625" style="145" customWidth="1"/>
    <col min="20" max="20" width="28.44140625" style="117" bestFit="1" customWidth="1"/>
    <col min="21" max="21" width="21" style="117" bestFit="1" customWidth="1"/>
    <col min="22" max="22" width="21" style="117" customWidth="1"/>
    <col min="23" max="23" width="23" style="117" bestFit="1" customWidth="1"/>
    <col min="24" max="24" width="23" style="117" customWidth="1"/>
    <col min="25" max="25" width="15.33203125" style="117" bestFit="1" customWidth="1"/>
    <col min="26" max="26" width="36.44140625" style="117" bestFit="1" customWidth="1"/>
    <col min="27" max="27" width="11.44140625" style="117"/>
    <col min="28" max="28" width="21" style="117" bestFit="1" customWidth="1"/>
    <col min="29" max="30" width="39.6640625" style="117" bestFit="1" customWidth="1"/>
    <col min="31" max="31" width="38.44140625" style="117" bestFit="1" customWidth="1"/>
    <col min="32" max="34" width="38.44140625" style="117" customWidth="1"/>
    <col min="35" max="35" width="24.44140625" style="117" bestFit="1" customWidth="1"/>
    <col min="36" max="36" width="24.44140625" style="117" customWidth="1"/>
    <col min="37" max="37" width="31" style="117" bestFit="1" customWidth="1"/>
    <col min="38" max="52" width="31" style="117" customWidth="1"/>
    <col min="53" max="53" width="25" style="117" customWidth="1"/>
    <col min="54" max="54" width="25.109375" style="117" customWidth="1"/>
    <col min="55" max="56" width="31" style="117" customWidth="1"/>
    <col min="57" max="58" width="25.44140625" style="117" bestFit="1" customWidth="1"/>
    <col min="59" max="59" width="25.6640625" style="117" bestFit="1" customWidth="1"/>
    <col min="60" max="60" width="16.6640625" style="117" bestFit="1" customWidth="1"/>
    <col min="61" max="61" width="20.6640625" style="117" bestFit="1" customWidth="1"/>
    <col min="62" max="62" width="30.6640625" style="117" bestFit="1" customWidth="1"/>
    <col min="63" max="63" width="30.6640625" style="117" customWidth="1"/>
    <col min="64" max="64" width="13.6640625" style="117" bestFit="1" customWidth="1"/>
    <col min="65" max="68" width="11.44140625" style="117"/>
    <col min="69" max="69" width="28.44140625" style="117" bestFit="1" customWidth="1"/>
    <col min="70" max="70" width="24.6640625" style="117" customWidth="1"/>
    <col min="71" max="71" width="11.44140625" style="117"/>
    <col min="72" max="72" width="14.33203125" style="117" bestFit="1" customWidth="1"/>
    <col min="73" max="73" width="24.6640625" style="117" customWidth="1"/>
    <col min="74" max="74" width="21" style="117" customWidth="1"/>
    <col min="75" max="75" width="17.6640625" style="117" customWidth="1"/>
    <col min="76" max="76" width="16" style="117" customWidth="1"/>
    <col min="77" max="77" width="14" style="117" customWidth="1"/>
    <col min="78" max="78" width="16" style="117" customWidth="1"/>
    <col min="80" max="80" width="38.44140625" style="117" bestFit="1" customWidth="1"/>
    <col min="81" max="81" width="25.6640625" style="117" bestFit="1" customWidth="1"/>
    <col min="82" max="82" width="11.44140625" style="117"/>
    <col min="83" max="83" width="18.6640625" style="117" customWidth="1"/>
    <col min="84" max="84" width="35.33203125" style="117" customWidth="1"/>
    <col min="85" max="85" width="12.44140625" style="117" customWidth="1"/>
    <col min="86" max="86" width="11.44140625" style="117"/>
    <col min="87" max="87" width="23.6640625" style="117" customWidth="1"/>
    <col min="88" max="88" width="11.6640625" style="117" customWidth="1"/>
    <col min="89" max="89" width="16" style="117" bestFit="1" customWidth="1"/>
    <col min="90" max="95" width="15.33203125" style="117" customWidth="1"/>
    <col min="96" max="103" width="15.33203125" style="117" hidden="1" customWidth="1"/>
    <col min="104" max="105" width="15.33203125" style="117" customWidth="1"/>
    <col min="106" max="106" width="11.6640625" style="117" customWidth="1"/>
    <col min="111" max="113" width="11.6640625" style="117" customWidth="1"/>
    <col min="118" max="133" width="11.6640625" style="117" customWidth="1"/>
    <col min="134" max="134" width="26.44140625" style="117" bestFit="1" customWidth="1"/>
    <col min="135" max="136" width="11.44140625" style="117" bestFit="1" customWidth="1"/>
    <col min="137" max="137" width="11.44140625" style="117"/>
    <col min="138" max="138" width="12.33203125" style="117" bestFit="1" customWidth="1"/>
    <col min="139" max="16384" width="11.44140625" style="117"/>
  </cols>
  <sheetData>
    <row r="1" spans="1:146" ht="50.25" customHeight="1">
      <c r="H1" s="117" t="s">
        <v>238</v>
      </c>
      <c r="J1" s="117" t="s">
        <v>194</v>
      </c>
      <c r="O1" s="117" t="s">
        <v>238</v>
      </c>
      <c r="P1" s="177" t="s">
        <v>238</v>
      </c>
      <c r="R1" s="117" t="s">
        <v>365</v>
      </c>
      <c r="T1" s="118" t="s">
        <v>239</v>
      </c>
      <c r="Y1" s="117">
        <v>1994</v>
      </c>
      <c r="Z1" s="117">
        <v>1994</v>
      </c>
      <c r="AA1" s="117">
        <v>1994</v>
      </c>
      <c r="AC1" s="117" t="s">
        <v>240</v>
      </c>
      <c r="AD1" s="117" t="s">
        <v>240</v>
      </c>
      <c r="AE1" s="118" t="s">
        <v>241</v>
      </c>
      <c r="AI1" s="117" t="s">
        <v>242</v>
      </c>
      <c r="AJ1" s="163" t="s">
        <v>242</v>
      </c>
      <c r="AK1" s="117" t="s">
        <v>243</v>
      </c>
      <c r="AL1" s="117" t="s">
        <v>126</v>
      </c>
      <c r="AM1" s="117" t="s">
        <v>49</v>
      </c>
      <c r="AN1" s="117" t="s">
        <v>126</v>
      </c>
      <c r="AO1" s="117" t="s">
        <v>126</v>
      </c>
      <c r="AP1" s="117" t="s">
        <v>126</v>
      </c>
      <c r="AR1" s="117" t="s">
        <v>49</v>
      </c>
      <c r="AU1" s="117" t="s">
        <v>126</v>
      </c>
      <c r="AV1" s="175" t="s">
        <v>126</v>
      </c>
      <c r="AW1" s="175"/>
      <c r="AX1" s="175"/>
      <c r="AY1" s="175"/>
      <c r="AZ1" s="175"/>
      <c r="BA1" s="175"/>
      <c r="BB1" s="175"/>
      <c r="BC1" s="117" t="s">
        <v>126</v>
      </c>
      <c r="BE1" s="117" t="s">
        <v>244</v>
      </c>
      <c r="BF1" s="117" t="s">
        <v>245</v>
      </c>
      <c r="BG1" s="117" t="s">
        <v>31</v>
      </c>
      <c r="BJ1" s="117" t="s">
        <v>49</v>
      </c>
      <c r="BM1" s="175"/>
      <c r="BN1" s="3" t="s">
        <v>264</v>
      </c>
      <c r="BO1" s="3" t="s">
        <v>265</v>
      </c>
      <c r="BP1" s="118" t="s">
        <v>266</v>
      </c>
      <c r="BQ1" s="117" t="s">
        <v>267</v>
      </c>
      <c r="BR1" s="465" t="s">
        <v>268</v>
      </c>
      <c r="BT1" s="118" t="s">
        <v>269</v>
      </c>
      <c r="BU1" s="465" t="s">
        <v>270</v>
      </c>
      <c r="BV1" s="465" t="s">
        <v>271</v>
      </c>
      <c r="BW1" s="465" t="s">
        <v>272</v>
      </c>
      <c r="BX1" s="465" t="s">
        <v>270</v>
      </c>
      <c r="BY1" s="465" t="s">
        <v>271</v>
      </c>
      <c r="BZ1" s="465" t="s">
        <v>272</v>
      </c>
      <c r="CL1" s="117" t="s">
        <v>412</v>
      </c>
      <c r="CM1" s="117" t="s">
        <v>412</v>
      </c>
      <c r="CN1" s="117" t="s">
        <v>412</v>
      </c>
      <c r="CO1" s="117" t="s">
        <v>413</v>
      </c>
      <c r="CP1" s="117" t="s">
        <v>413</v>
      </c>
      <c r="CQ1" s="117" t="s">
        <v>413</v>
      </c>
      <c r="CZ1" s="117" t="s">
        <v>157</v>
      </c>
      <c r="DA1" s="117" t="s">
        <v>157</v>
      </c>
      <c r="DB1" s="117" t="s">
        <v>157</v>
      </c>
      <c r="DG1" s="130"/>
      <c r="DH1" s="130"/>
      <c r="DI1" s="130"/>
      <c r="DN1" s="130"/>
      <c r="DO1" s="130"/>
      <c r="DP1" s="130"/>
      <c r="DQ1" s="130"/>
      <c r="DR1" s="130"/>
      <c r="DS1" s="130"/>
      <c r="DT1" s="130"/>
      <c r="DU1" s="130"/>
      <c r="DW1" s="130"/>
      <c r="DX1" s="130"/>
      <c r="DY1" s="130"/>
      <c r="DZ1" s="130"/>
      <c r="EA1" s="130"/>
      <c r="EB1" s="130"/>
      <c r="EF1" s="119"/>
      <c r="EG1" s="119"/>
      <c r="EH1" s="119"/>
    </row>
    <row r="2" spans="1:146" ht="64.5" customHeight="1">
      <c r="B2" s="471" t="s">
        <v>246</v>
      </c>
      <c r="C2" s="471" t="s">
        <v>363</v>
      </c>
      <c r="D2" s="471"/>
      <c r="E2" s="471"/>
      <c r="F2" s="471"/>
      <c r="G2" s="471"/>
      <c r="H2" s="117" t="s">
        <v>247</v>
      </c>
      <c r="J2" s="117" t="s">
        <v>463</v>
      </c>
      <c r="O2" s="117" t="s">
        <v>248</v>
      </c>
      <c r="P2" s="177" t="s">
        <v>248</v>
      </c>
      <c r="T2" s="117" t="s">
        <v>248</v>
      </c>
      <c r="U2" s="117" t="s">
        <v>249</v>
      </c>
      <c r="V2" s="165" t="s">
        <v>369</v>
      </c>
      <c r="W2" s="117" t="s">
        <v>165</v>
      </c>
      <c r="Y2" s="117" t="s">
        <v>192</v>
      </c>
      <c r="Z2" s="117" t="s">
        <v>5</v>
      </c>
      <c r="AA2" s="117" t="s">
        <v>250</v>
      </c>
      <c r="AB2" s="117" t="s">
        <v>249</v>
      </c>
      <c r="AC2" s="117" t="s">
        <v>251</v>
      </c>
      <c r="AD2" s="164" t="s">
        <v>368</v>
      </c>
      <c r="AE2" s="118" t="s">
        <v>251</v>
      </c>
      <c r="AF2" s="117" t="s">
        <v>249</v>
      </c>
      <c r="AG2" s="164" t="s">
        <v>369</v>
      </c>
      <c r="AH2" s="117" t="s">
        <v>249</v>
      </c>
      <c r="AI2" s="117" t="s">
        <v>164</v>
      </c>
      <c r="AJ2" s="163" t="s">
        <v>164</v>
      </c>
      <c r="AK2" s="117" t="s">
        <v>31</v>
      </c>
      <c r="AL2" s="117" t="s">
        <v>252</v>
      </c>
      <c r="AM2" s="117" t="s">
        <v>253</v>
      </c>
      <c r="AN2" s="117" t="s">
        <v>253</v>
      </c>
      <c r="AO2" s="117" t="s">
        <v>254</v>
      </c>
      <c r="AP2" s="117" t="s">
        <v>255</v>
      </c>
      <c r="AQ2" s="117" t="s">
        <v>256</v>
      </c>
      <c r="AR2" s="117" t="s">
        <v>257</v>
      </c>
      <c r="AS2" s="117" t="s">
        <v>258</v>
      </c>
      <c r="AU2" s="71" t="s">
        <v>257</v>
      </c>
      <c r="AV2" s="71" t="s">
        <v>177</v>
      </c>
      <c r="AW2" s="71" t="s">
        <v>259</v>
      </c>
      <c r="AX2" s="71"/>
      <c r="AY2" s="71"/>
      <c r="AZ2" s="71"/>
      <c r="BA2" s="71"/>
      <c r="BB2" s="71"/>
      <c r="BC2" s="117" t="s">
        <v>260</v>
      </c>
      <c r="BD2" s="117" t="s">
        <v>257</v>
      </c>
      <c r="BE2" s="117" t="s">
        <v>31</v>
      </c>
      <c r="BF2" s="117" t="s">
        <v>261</v>
      </c>
      <c r="BG2" s="117" t="s">
        <v>6</v>
      </c>
      <c r="BH2" s="117" t="s">
        <v>262</v>
      </c>
      <c r="BI2" s="118" t="s">
        <v>263</v>
      </c>
      <c r="BJ2" s="117" t="s">
        <v>48</v>
      </c>
      <c r="BM2" s="3" t="s">
        <v>156</v>
      </c>
      <c r="BR2" s="465"/>
      <c r="BU2" s="465"/>
      <c r="BV2" s="465"/>
      <c r="BW2" s="465"/>
      <c r="BX2" s="465"/>
      <c r="BY2" s="465"/>
      <c r="BZ2" s="465"/>
      <c r="CB2" s="118" t="s">
        <v>251</v>
      </c>
      <c r="CC2" s="118" t="s">
        <v>263</v>
      </c>
      <c r="CD2" s="118" t="s">
        <v>266</v>
      </c>
      <c r="CE2" s="118" t="s">
        <v>269</v>
      </c>
      <c r="CF2" s="118" t="s">
        <v>284</v>
      </c>
      <c r="CG2" s="118" t="s">
        <v>285</v>
      </c>
      <c r="CH2" s="118" t="s">
        <v>407</v>
      </c>
      <c r="CI2" s="118" t="s">
        <v>286</v>
      </c>
      <c r="CJ2" s="118"/>
      <c r="CK2" s="164" t="s">
        <v>408</v>
      </c>
      <c r="CL2" s="209" t="s">
        <v>206</v>
      </c>
      <c r="CM2" s="209" t="s">
        <v>409</v>
      </c>
      <c r="CN2" s="209" t="s">
        <v>207</v>
      </c>
      <c r="CO2" s="209" t="s">
        <v>206</v>
      </c>
      <c r="CP2" s="209" t="s">
        <v>409</v>
      </c>
      <c r="CQ2" s="209" t="s">
        <v>207</v>
      </c>
      <c r="CR2" s="201"/>
      <c r="CS2" s="201"/>
      <c r="CT2" s="201"/>
      <c r="CU2" s="201"/>
      <c r="CV2" s="201"/>
      <c r="CW2" s="201"/>
      <c r="CX2" s="201"/>
      <c r="CY2" s="201"/>
      <c r="CZ2" s="201" t="s">
        <v>218</v>
      </c>
      <c r="DA2" s="201" t="s">
        <v>410</v>
      </c>
      <c r="DB2" s="201" t="s">
        <v>411</v>
      </c>
    </row>
    <row r="3" spans="1:146" s="119" customFormat="1">
      <c r="A3" s="117"/>
      <c r="B3" s="471"/>
      <c r="C3" s="471"/>
      <c r="D3" s="471"/>
      <c r="E3" s="471"/>
      <c r="F3" s="471"/>
      <c r="G3" s="471"/>
      <c r="H3" s="117" t="s">
        <v>273</v>
      </c>
      <c r="I3" s="117"/>
      <c r="J3" s="117"/>
      <c r="K3" s="117"/>
      <c r="L3" s="117"/>
      <c r="M3" s="117"/>
      <c r="N3" s="117"/>
      <c r="O3" s="117" t="s">
        <v>273</v>
      </c>
      <c r="P3" s="177" t="s">
        <v>273</v>
      </c>
      <c r="Q3" s="117" t="s">
        <v>366</v>
      </c>
      <c r="R3" s="161" t="s">
        <v>364</v>
      </c>
      <c r="S3" s="145"/>
      <c r="T3" s="117" t="s">
        <v>274</v>
      </c>
      <c r="U3" s="117" t="s">
        <v>275</v>
      </c>
      <c r="V3" s="165" t="s">
        <v>367</v>
      </c>
      <c r="W3" s="117"/>
      <c r="X3" s="117"/>
      <c r="Y3" s="117" t="s">
        <v>193</v>
      </c>
      <c r="Z3" s="117" t="s">
        <v>193</v>
      </c>
      <c r="AA3" s="117" t="s">
        <v>276</v>
      </c>
      <c r="AB3" s="117" t="s">
        <v>277</v>
      </c>
      <c r="AC3" s="117" t="s">
        <v>278</v>
      </c>
      <c r="AD3" s="163" t="s">
        <v>279</v>
      </c>
      <c r="AE3" s="118" t="s">
        <v>279</v>
      </c>
      <c r="AF3" s="117" t="s">
        <v>280</v>
      </c>
      <c r="AG3" s="117"/>
      <c r="AH3" s="117" t="s">
        <v>281</v>
      </c>
      <c r="AI3" s="117"/>
      <c r="AJ3" s="117"/>
      <c r="AK3" s="117" t="s">
        <v>282</v>
      </c>
      <c r="AL3" s="117"/>
      <c r="AM3" s="117"/>
      <c r="AN3" s="117"/>
      <c r="AO3" s="117"/>
      <c r="AP3" s="117"/>
      <c r="AQ3" s="117"/>
      <c r="AR3" s="117"/>
      <c r="AS3" s="117"/>
      <c r="AT3" s="117"/>
      <c r="AU3" s="117"/>
      <c r="AV3" s="117"/>
      <c r="AW3" s="117"/>
      <c r="AX3" s="117"/>
      <c r="AY3" s="117"/>
      <c r="AZ3" s="117"/>
      <c r="BA3" s="117"/>
      <c r="BB3" s="117"/>
      <c r="BC3" s="117"/>
      <c r="BD3" s="117"/>
      <c r="BE3" s="117" t="s">
        <v>283</v>
      </c>
      <c r="BF3" s="117"/>
      <c r="BG3" s="117"/>
      <c r="BH3" s="117" t="s">
        <v>192</v>
      </c>
      <c r="BI3" s="118" t="s">
        <v>192</v>
      </c>
      <c r="BJ3" s="117"/>
      <c r="BK3" s="117"/>
      <c r="BL3" s="117"/>
      <c r="BM3" s="117"/>
      <c r="BU3" s="176"/>
      <c r="BV3" s="176"/>
      <c r="BW3" s="176"/>
      <c r="BX3" s="176"/>
      <c r="BY3" s="176"/>
      <c r="BZ3" s="176"/>
      <c r="CB3" s="118" t="s">
        <v>279</v>
      </c>
      <c r="CC3" s="118" t="s">
        <v>287</v>
      </c>
      <c r="CD3" s="117"/>
      <c r="CE3" s="117"/>
      <c r="CF3" s="117"/>
      <c r="CG3" s="117"/>
      <c r="CH3" s="117"/>
      <c r="CI3" s="117"/>
      <c r="CJ3" s="117"/>
      <c r="CK3" s="117"/>
      <c r="CL3" s="117"/>
      <c r="CM3" s="117"/>
      <c r="CN3" s="117"/>
      <c r="CO3" s="117"/>
      <c r="CP3" s="117"/>
      <c r="CQ3" s="117"/>
      <c r="CR3" s="117"/>
      <c r="CS3" s="117"/>
      <c r="CT3" s="117"/>
      <c r="CU3" s="117"/>
      <c r="CV3" s="117"/>
      <c r="CW3" s="117"/>
      <c r="CX3" s="117"/>
      <c r="CY3" s="117"/>
      <c r="CZ3" s="117"/>
      <c r="DA3" s="117"/>
      <c r="DB3" s="117"/>
      <c r="DC3"/>
      <c r="DG3" s="124"/>
      <c r="DH3" s="124"/>
      <c r="DI3" s="124"/>
      <c r="DN3" s="124"/>
      <c r="DO3" s="124"/>
      <c r="DP3" s="124"/>
      <c r="DQ3" s="124"/>
      <c r="DR3" s="124"/>
      <c r="DS3" s="124"/>
      <c r="DT3" s="124"/>
      <c r="DU3" s="124"/>
      <c r="DW3" s="124"/>
      <c r="DX3" s="124"/>
      <c r="DY3" s="124"/>
      <c r="DZ3" s="124"/>
      <c r="EA3" s="124"/>
      <c r="EB3" s="124"/>
      <c r="EP3" s="117"/>
    </row>
    <row r="4" spans="1:146" s="119" customFormat="1">
      <c r="A4" s="117">
        <v>1961</v>
      </c>
      <c r="B4" s="117"/>
      <c r="C4" s="145"/>
      <c r="D4" s="145"/>
      <c r="E4" s="145"/>
      <c r="F4" s="145"/>
      <c r="G4" s="145"/>
      <c r="H4" s="120">
        <v>640.96555653732855</v>
      </c>
      <c r="I4" s="120"/>
      <c r="J4" s="120"/>
      <c r="K4" s="120"/>
      <c r="L4" s="120"/>
      <c r="M4" s="120"/>
      <c r="N4" s="120"/>
      <c r="O4" s="120">
        <v>510.86576267823807</v>
      </c>
      <c r="P4" s="120"/>
      <c r="Q4" s="160"/>
      <c r="R4" s="160">
        <v>5.9190407059441785E-3</v>
      </c>
      <c r="S4" s="145">
        <f>AVERAGE(Q4:Q16)</f>
        <v>2.6266415544124334E-2</v>
      </c>
      <c r="T4" s="117">
        <v>85.582538130239556</v>
      </c>
      <c r="U4" s="117">
        <v>28.709</v>
      </c>
      <c r="V4" s="117"/>
      <c r="W4" s="119">
        <v>123.61</v>
      </c>
      <c r="X4" s="124" t="e">
        <f>+W4/#REF!-1</f>
        <v>#REF!</v>
      </c>
      <c r="Y4" s="119">
        <v>36474.200093024279</v>
      </c>
      <c r="Z4" s="117">
        <v>2388863.4989098529</v>
      </c>
      <c r="AA4" s="119">
        <v>0.20040080160320639</v>
      </c>
      <c r="AB4" s="119">
        <f t="shared" ref="AB4:AB57" si="0">+U4/AA4</f>
        <v>143.25791000000001</v>
      </c>
      <c r="AC4" s="119">
        <f t="shared" ref="AC4:AC35" si="1">+AB4*$W$37</f>
        <v>274911.92929</v>
      </c>
      <c r="AD4" s="119">
        <f t="shared" ref="AD4:AD57" si="2">+AC4/Z4</f>
        <v>0.11508063537973384</v>
      </c>
      <c r="AE4" s="119" t="e">
        <f>+AD4-#REF!</f>
        <v>#REF!</v>
      </c>
      <c r="AF4" s="119">
        <f t="shared" ref="AF4:AF57" si="3">+U4*W4</f>
        <v>3548.71949</v>
      </c>
      <c r="AG4" s="145">
        <f t="shared" ref="AG4:AG59" si="4">AF4/Y4</f>
        <v>9.7293963430295907E-2</v>
      </c>
      <c r="AH4" s="119">
        <f t="shared" ref="AH4:AH57" si="5">+AF4/Y4</f>
        <v>9.7293963430295907E-2</v>
      </c>
      <c r="AI4" s="120">
        <v>118.85561929934741</v>
      </c>
      <c r="AJ4" s="122">
        <f>+'Base_Budget Constraint'!T26/'Base_Budget Constraint'!$T$60</f>
        <v>1.1248153443435891</v>
      </c>
      <c r="AM4" s="119">
        <v>0.96499999999999997</v>
      </c>
      <c r="AN4" s="58">
        <f t="shared" ref="AN4:AN59" si="6">+AM4*W4/1000</f>
        <v>0.11928364999999999</v>
      </c>
      <c r="AO4" s="58">
        <f t="shared" ref="AO4:AO57" si="7">+AN4+AL4</f>
        <v>0.11928364999999999</v>
      </c>
      <c r="AP4" s="121"/>
      <c r="AQ4" s="121"/>
      <c r="AR4" s="119">
        <v>4.1890000000000001</v>
      </c>
      <c r="AS4" s="119">
        <f t="shared" ref="AS4:AS59" si="8">+AR4/AA4</f>
        <v>20.903110000000002</v>
      </c>
      <c r="AT4" s="124">
        <f t="shared" ref="AT4:AT35" si="9">+AS4*$W$37/Z4</f>
        <v>1.6791695343122543E-2</v>
      </c>
      <c r="AU4" s="119">
        <f t="shared" ref="AU4:AU56" si="10">+AR4*W4</f>
        <v>517.80228999999997</v>
      </c>
      <c r="AX4" s="119">
        <v>1.6970861097782716E-2</v>
      </c>
      <c r="AY4" s="58"/>
      <c r="AZ4" s="58"/>
      <c r="BA4" s="58">
        <f t="shared" ref="BA4:BA35" si="11">+AX4/$AX$37*100</f>
        <v>1.6970861097782717</v>
      </c>
      <c r="BC4" s="119">
        <f t="shared" ref="BC4:BC59" si="12">(-AU4+AP4-AO4)*-1</f>
        <v>517.92157365000003</v>
      </c>
      <c r="BD4" s="58"/>
      <c r="BG4" s="122">
        <v>2772</v>
      </c>
      <c r="BH4" s="119">
        <f t="shared" ref="BH4:BH35" si="13">+BG4/Y4</f>
        <v>7.599892507389483E-2</v>
      </c>
      <c r="BI4" s="119" t="e">
        <f>+BH4-#REF!</f>
        <v>#REF!</v>
      </c>
      <c r="BJ4" s="119">
        <v>2.5179999999999998</v>
      </c>
      <c r="BK4" s="124"/>
      <c r="BL4" s="119">
        <v>2083.1</v>
      </c>
      <c r="BM4" s="119" t="e">
        <f>+Z4/#REF!</f>
        <v>#REF!</v>
      </c>
      <c r="BN4" s="119">
        <f t="shared" ref="BN4:BN35" si="14">+B28+1</f>
        <v>1.0199999999999998</v>
      </c>
      <c r="BO4" s="119">
        <v>1.0111607142858401</v>
      </c>
      <c r="BP4" s="119">
        <f t="shared" ref="BP4:BP35" si="15">+BH4*(1-(1/(BM5*BN4)))</f>
        <v>3.870596315010924E-3</v>
      </c>
      <c r="BQ4" s="119">
        <f t="shared" ref="BQ4:BQ35" si="16">+AM5/U4</f>
        <v>3.5110940819951933E-2</v>
      </c>
      <c r="BR4" s="119" t="e">
        <f>+#REF!/(BM5*BO4)</f>
        <v>#REF!</v>
      </c>
      <c r="BS4" s="119" t="e">
        <f t="shared" ref="BS4:BS35" si="17">+((BR4*AB4)-AB4)</f>
        <v>#REF!</v>
      </c>
      <c r="BT4" s="124" t="e">
        <f t="shared" ref="BT4:BT35" si="18">+BS4*AI6/Z5</f>
        <v>#REF!</v>
      </c>
      <c r="BU4" s="58">
        <v>877</v>
      </c>
      <c r="BV4" s="58">
        <v>794</v>
      </c>
      <c r="BW4" s="58">
        <v>1671</v>
      </c>
      <c r="BX4" s="124">
        <f t="shared" ref="BX4:BX33" si="19">+BU4/Y4</f>
        <v>2.4044392961690392E-2</v>
      </c>
      <c r="BY4" s="124">
        <f t="shared" ref="BY4:BY33" si="20">+BV4/Y4</f>
        <v>2.1768811871815473E-2</v>
      </c>
      <c r="BZ4" s="124">
        <f>+BW4/Y4</f>
        <v>4.5813204833505865E-2</v>
      </c>
      <c r="CD4" s="117"/>
      <c r="CE4" s="117"/>
      <c r="CF4" s="117"/>
      <c r="CG4" s="117"/>
      <c r="CH4" s="117"/>
      <c r="CI4" s="117"/>
      <c r="CJ4" s="117">
        <v>1.0690028551419466</v>
      </c>
      <c r="CK4" s="145">
        <f>CJ4-1</f>
        <v>6.9002855141946595E-2</v>
      </c>
      <c r="CL4" s="120">
        <v>-13.159000000000001</v>
      </c>
      <c r="CM4" s="120"/>
      <c r="CN4" s="117"/>
      <c r="CO4" s="124"/>
      <c r="CP4" s="124"/>
      <c r="CQ4" s="124"/>
      <c r="CR4" s="124"/>
      <c r="CS4" s="124"/>
      <c r="CT4" s="124"/>
      <c r="CU4" s="124"/>
      <c r="CV4" s="124"/>
      <c r="CW4" s="124"/>
      <c r="CX4" s="124"/>
      <c r="CY4" s="124"/>
      <c r="CZ4" s="124"/>
      <c r="DA4" s="124"/>
      <c r="DB4" s="124"/>
      <c r="DG4" s="124"/>
      <c r="DH4" s="124"/>
      <c r="DI4" s="124"/>
      <c r="DN4" s="124"/>
      <c r="DO4" s="124"/>
      <c r="DP4" s="124"/>
      <c r="DQ4" s="124"/>
      <c r="DR4" s="124"/>
      <c r="DS4" s="124"/>
      <c r="DT4" s="124"/>
      <c r="DU4" s="124"/>
      <c r="DW4" s="124"/>
      <c r="DX4" s="124"/>
      <c r="DY4" s="124"/>
      <c r="DZ4" s="124"/>
      <c r="EA4" s="124"/>
      <c r="EB4" s="124"/>
      <c r="EP4" s="117"/>
    </row>
    <row r="5" spans="1:146" s="119" customFormat="1">
      <c r="A5" s="117">
        <v>1962</v>
      </c>
      <c r="B5" s="145">
        <v>4.0000000000000036E-2</v>
      </c>
      <c r="C5" s="145">
        <f>AVERAGE(B5:B25)</f>
        <v>0.28799570750836662</v>
      </c>
      <c r="D5" s="145"/>
      <c r="E5" s="145"/>
      <c r="F5" s="145"/>
      <c r="G5" s="145"/>
      <c r="H5" s="120">
        <v>644.75945775758123</v>
      </c>
      <c r="I5" s="120">
        <f>+H5/$H$5*100</f>
        <v>100</v>
      </c>
      <c r="J5" s="280">
        <f>+H5/H4-1</f>
        <v>5.9190407059441785E-3</v>
      </c>
      <c r="K5" s="223">
        <f>AVERAGE(J5:J16)</f>
        <v>2.6266415544124334E-2</v>
      </c>
      <c r="L5" s="219"/>
      <c r="M5" s="219"/>
      <c r="N5" s="219"/>
      <c r="O5" s="120">
        <v>503.39946021679924</v>
      </c>
      <c r="P5" s="203">
        <f>+O5/O4</f>
        <v>0.98538500129212736</v>
      </c>
      <c r="Q5" s="160">
        <f>H5/H4-1</f>
        <v>5.9190407059441785E-3</v>
      </c>
      <c r="R5" s="160">
        <v>1.9596374180107734E-2</v>
      </c>
      <c r="S5" s="145">
        <f>AVERAGE(Q4:Q16)</f>
        <v>2.6266415544124334E-2</v>
      </c>
      <c r="T5" s="117">
        <v>84.331749446049642</v>
      </c>
      <c r="U5" s="117">
        <v>29.193999999999999</v>
      </c>
      <c r="V5" s="117"/>
      <c r="W5" s="119">
        <v>123.6</v>
      </c>
      <c r="X5" s="124">
        <f>+W5/W4-1</f>
        <v>-8.0899603592032854E-5</v>
      </c>
      <c r="Y5" s="119">
        <v>40850.90635601955</v>
      </c>
      <c r="Z5" s="117">
        <v>2467702.1700095898</v>
      </c>
      <c r="AA5" s="119">
        <v>0.20307281229124913</v>
      </c>
      <c r="AB5" s="119">
        <f t="shared" si="0"/>
        <v>143.76124342105265</v>
      </c>
      <c r="AC5" s="119">
        <f t="shared" si="1"/>
        <v>275877.82612500002</v>
      </c>
      <c r="AD5" s="119">
        <f t="shared" si="2"/>
        <v>0.11179543037153788</v>
      </c>
      <c r="AE5" s="119">
        <f>+AD5-AD4</f>
        <v>-3.2852050081959572E-3</v>
      </c>
      <c r="AF5" s="119">
        <f t="shared" si="3"/>
        <v>3608.3783999999996</v>
      </c>
      <c r="AG5" s="145">
        <f t="shared" si="4"/>
        <v>8.833043674851758E-2</v>
      </c>
      <c r="AH5" s="119">
        <f t="shared" si="5"/>
        <v>8.833043674851758E-2</v>
      </c>
      <c r="AI5" s="120">
        <v>100.77258999951675</v>
      </c>
      <c r="AJ5" s="122">
        <f>+'Base_Budget Constraint'!T27/'Base_Budget Constraint'!$T$60</f>
        <v>1.106335174391047</v>
      </c>
      <c r="AK5" s="119">
        <v>65</v>
      </c>
      <c r="AL5" s="119">
        <v>1.6E-2</v>
      </c>
      <c r="AM5" s="119">
        <v>1.008</v>
      </c>
      <c r="AN5" s="58">
        <f t="shared" si="6"/>
        <v>0.12458879999999999</v>
      </c>
      <c r="AO5" s="58">
        <f t="shared" si="7"/>
        <v>0.14058879999999999</v>
      </c>
      <c r="AP5" s="121">
        <f>+AK5+AO5</f>
        <v>65.140588800000003</v>
      </c>
      <c r="AQ5" s="125">
        <f t="shared" ref="AQ5:AQ59" si="21">+AP5/Y5</f>
        <v>1.5945934768813585E-3</v>
      </c>
      <c r="AR5" s="119">
        <v>4.226</v>
      </c>
      <c r="AS5" s="119">
        <f t="shared" si="8"/>
        <v>20.810269736842109</v>
      </c>
      <c r="AT5" s="124">
        <f t="shared" si="9"/>
        <v>1.6183033799757454E-2</v>
      </c>
      <c r="AU5" s="119">
        <f t="shared" si="10"/>
        <v>522.33359999999993</v>
      </c>
      <c r="AV5" s="58">
        <v>619</v>
      </c>
      <c r="AW5" s="126">
        <f>+AU5+AV5</f>
        <v>1141.3335999999999</v>
      </c>
      <c r="AX5" s="119">
        <v>1.731027831973837E-2</v>
      </c>
      <c r="AY5" s="58">
        <f>+AW5/AX5</f>
        <v>65933.867666273902</v>
      </c>
      <c r="AZ5" s="127">
        <f t="shared" ref="AZ5:AZ57" si="22">+AY5/Z5</f>
        <v>2.6718729864397564E-2</v>
      </c>
      <c r="BA5" s="58">
        <f t="shared" si="11"/>
        <v>1.731027831973837</v>
      </c>
      <c r="BB5" s="58"/>
      <c r="BC5" s="119">
        <f t="shared" si="12"/>
        <v>457.33359999999993</v>
      </c>
      <c r="BD5" s="58"/>
      <c r="BE5" s="119">
        <v>54</v>
      </c>
      <c r="BF5" s="119">
        <v>-21</v>
      </c>
      <c r="BG5" s="122">
        <v>2934.6000000000004</v>
      </c>
      <c r="BH5" s="119">
        <f t="shared" si="13"/>
        <v>7.1836839418559797E-2</v>
      </c>
      <c r="BI5" s="119">
        <f>+BH5-BH4</f>
        <v>-4.1620856553350322E-3</v>
      </c>
      <c r="BJ5" s="119">
        <v>2.14</v>
      </c>
      <c r="BK5" s="124"/>
      <c r="BL5" s="119">
        <v>2059</v>
      </c>
      <c r="BM5" s="119">
        <f t="shared" ref="BM5:BM36" si="23">+Z5/Z4</f>
        <v>1.033002585177309</v>
      </c>
      <c r="BN5" s="119">
        <f t="shared" si="14"/>
        <v>1.0156862745098041</v>
      </c>
      <c r="BO5" s="119">
        <v>1.0121412803643715</v>
      </c>
      <c r="BP5" s="119">
        <f t="shared" si="15"/>
        <v>4.2910526026393109E-3</v>
      </c>
      <c r="BQ5" s="119">
        <f t="shared" si="16"/>
        <v>4.3467835856682881E-2</v>
      </c>
      <c r="BR5" s="119">
        <f t="shared" ref="BR5:BR36" si="24">+BQ4/(BM6*BO5)</f>
        <v>3.3129277210791619E-2</v>
      </c>
      <c r="BS5" s="119">
        <f t="shared" si="17"/>
        <v>-138.99853733558851</v>
      </c>
      <c r="BT5" s="124">
        <f t="shared" si="18"/>
        <v>-5.2312137783725125E-3</v>
      </c>
      <c r="BU5" s="58">
        <v>1055.5</v>
      </c>
      <c r="BV5" s="58">
        <v>1249.5999999999999</v>
      </c>
      <c r="BW5" s="58">
        <v>2305.1</v>
      </c>
      <c r="BX5" s="124">
        <f t="shared" si="19"/>
        <v>2.5837860017136872E-2</v>
      </c>
      <c r="BY5" s="124">
        <f t="shared" si="20"/>
        <v>3.0589284583054696E-2</v>
      </c>
      <c r="BZ5" s="124">
        <f t="shared" ref="BZ5:BZ32" si="25">+BW5/Y5</f>
        <v>5.6427144600191569E-2</v>
      </c>
      <c r="CB5" s="145">
        <v>-3.2852050081959572E-3</v>
      </c>
      <c r="CC5" s="145">
        <v>-4.1620856553350322E-3</v>
      </c>
      <c r="CD5" s="145">
        <v>3.870596315010924E-3</v>
      </c>
      <c r="CE5" s="124">
        <v>-5.55462467051758E-3</v>
      </c>
      <c r="CF5" s="146">
        <v>-1.5945934768813585E-3</v>
      </c>
      <c r="CG5" s="124">
        <f t="shared" ref="CG5:CG36" si="26">+CB5+CC5+CD5-CF5-CE5-CI5</f>
        <v>-1.261051000087858E-2</v>
      </c>
      <c r="CH5" s="146">
        <v>1.9999999999999796E-2</v>
      </c>
      <c r="CI5" s="124">
        <v>1.6183033799757454E-2</v>
      </c>
      <c r="CJ5" s="117">
        <v>1.033002585177309</v>
      </c>
      <c r="CK5" s="145">
        <f>CJ5-1</f>
        <v>3.300258517730903E-2</v>
      </c>
      <c r="CL5" s="120">
        <v>-9.4629999999999992</v>
      </c>
      <c r="CM5" s="120">
        <v>5.6739999999999995</v>
      </c>
      <c r="CN5" s="120">
        <v>0.46900000000000008</v>
      </c>
      <c r="CO5" s="124"/>
      <c r="CP5" s="124"/>
      <c r="CQ5" s="124"/>
      <c r="CR5" s="124"/>
      <c r="CS5" s="124"/>
      <c r="CT5" s="124"/>
      <c r="CU5" s="124"/>
      <c r="CV5" s="124"/>
      <c r="CW5" s="124"/>
      <c r="CX5" s="124"/>
      <c r="CY5" s="124"/>
      <c r="CZ5" s="124"/>
      <c r="DA5" s="124"/>
      <c r="DB5" s="124"/>
      <c r="DG5" s="124"/>
      <c r="DH5" s="124"/>
      <c r="DI5" s="124"/>
      <c r="DN5" s="124"/>
      <c r="EP5" s="117"/>
    </row>
    <row r="6" spans="1:146" s="119" customFormat="1">
      <c r="A6" s="117">
        <v>1963</v>
      </c>
      <c r="B6" s="145">
        <v>9.6153846153846256E-2</v>
      </c>
      <c r="C6" s="145">
        <f>AVERAGE(B5:B25)</f>
        <v>0.28799570750836662</v>
      </c>
      <c r="D6" s="145"/>
      <c r="E6" s="145"/>
      <c r="F6" s="145"/>
      <c r="G6" s="145"/>
      <c r="H6" s="120">
        <v>657.39440534796222</v>
      </c>
      <c r="I6" s="120">
        <f t="shared" ref="I6:I57" si="27">+H6/$H$5*100</f>
        <v>101.95963741801077</v>
      </c>
      <c r="J6" s="280">
        <f t="shared" ref="J6:J57" si="28">+H6/H5-1</f>
        <v>1.9596374180107734E-2</v>
      </c>
      <c r="K6" s="223">
        <f>AVERAGE($J$5:$J$16)</f>
        <v>2.6266415544124334E-2</v>
      </c>
      <c r="L6" s="219"/>
      <c r="M6" s="219"/>
      <c r="N6" s="219"/>
      <c r="O6" s="120">
        <v>502.78689176149857</v>
      </c>
      <c r="P6" s="203">
        <f t="shared" ref="P6:P59" si="29">+O6/O5</f>
        <v>0.99878313644786809</v>
      </c>
      <c r="Q6" s="160">
        <f t="shared" ref="Q6:Q57" si="30">H6/H5-1</f>
        <v>1.9596374180107734E-2</v>
      </c>
      <c r="R6" s="160">
        <v>1.4751864111837598E-2</v>
      </c>
      <c r="S6" s="145">
        <f>AVERAGE(Q4:Q16)</f>
        <v>2.6266415544124334E-2</v>
      </c>
      <c r="T6" s="117">
        <v>84.229129213861228</v>
      </c>
      <c r="U6" s="117">
        <v>29.581</v>
      </c>
      <c r="V6" s="117"/>
      <c r="W6" s="119">
        <v>123.6</v>
      </c>
      <c r="X6" s="124">
        <f t="shared" ref="X6:X17" si="31">+W6/W5-1</f>
        <v>0</v>
      </c>
      <c r="Y6" s="119">
        <v>43439.426657305405</v>
      </c>
      <c r="Z6" s="117">
        <v>2583938.1315578753</v>
      </c>
      <c r="AA6" s="119">
        <v>0.20641282565130259</v>
      </c>
      <c r="AB6" s="119">
        <f t="shared" si="0"/>
        <v>143.30989320388349</v>
      </c>
      <c r="AC6" s="119">
        <f t="shared" si="1"/>
        <v>275011.68505825242</v>
      </c>
      <c r="AD6" s="119">
        <f t="shared" si="2"/>
        <v>0.10643121895973796</v>
      </c>
      <c r="AE6" s="119">
        <f t="shared" ref="AE6:AE57" si="32">+AD6-AD5</f>
        <v>-5.3642114117999212E-3</v>
      </c>
      <c r="AF6" s="119">
        <f t="shared" si="3"/>
        <v>3656.2115999999996</v>
      </c>
      <c r="AG6" s="145">
        <f t="shared" si="4"/>
        <v>8.4168044593312286E-2</v>
      </c>
      <c r="AH6" s="119">
        <f t="shared" si="5"/>
        <v>8.4168044593312286E-2</v>
      </c>
      <c r="AI6" s="120">
        <v>99.116945276039274</v>
      </c>
      <c r="AJ6" s="122">
        <f>+'Base_Budget Constraint'!T28/'Base_Budget Constraint'!$T$60</f>
        <v>1.0854583414709966</v>
      </c>
      <c r="AK6" s="119">
        <v>-527</v>
      </c>
      <c r="AL6" s="119">
        <v>1.2999999999999999E-2</v>
      </c>
      <c r="AM6" s="119">
        <v>1.2689999999999999</v>
      </c>
      <c r="AN6" s="58">
        <f t="shared" si="6"/>
        <v>0.15684839999999997</v>
      </c>
      <c r="AO6" s="58">
        <f t="shared" si="7"/>
        <v>0.16984839999999998</v>
      </c>
      <c r="AP6" s="121">
        <f t="shared" ref="AP6:AP59" si="33">+AK6+AO6</f>
        <v>-526.83015160000002</v>
      </c>
      <c r="AQ6" s="125">
        <f t="shared" si="21"/>
        <v>-1.2127925991200912E-2</v>
      </c>
      <c r="AR6" s="119">
        <v>3.2850000000000001</v>
      </c>
      <c r="AS6" s="119">
        <f t="shared" si="8"/>
        <v>15.91470873786408</v>
      </c>
      <c r="AT6" s="124">
        <f t="shared" si="9"/>
        <v>1.1819294624344657E-2</v>
      </c>
      <c r="AU6" s="119">
        <f t="shared" si="10"/>
        <v>406.02600000000001</v>
      </c>
      <c r="AV6" s="58">
        <v>285</v>
      </c>
      <c r="AW6" s="126">
        <f t="shared" ref="AW6:AW59" si="34">+AU6+AV6</f>
        <v>691.02600000000007</v>
      </c>
      <c r="AX6" s="119">
        <v>1.758181209730288E-2</v>
      </c>
      <c r="AY6" s="58">
        <f t="shared" ref="AY6:AY59" si="35">+AW6/AX6</f>
        <v>39303.457241816744</v>
      </c>
      <c r="AZ6" s="127">
        <f t="shared" si="22"/>
        <v>1.5210680457786504E-2</v>
      </c>
      <c r="BA6" s="58">
        <f t="shared" si="11"/>
        <v>1.758181209730288</v>
      </c>
      <c r="BB6" s="58"/>
      <c r="BC6" s="119">
        <f t="shared" si="12"/>
        <v>933.02599999999995</v>
      </c>
      <c r="BD6" s="58"/>
      <c r="BE6" s="119">
        <v>-467</v>
      </c>
      <c r="BF6" s="119">
        <v>-3</v>
      </c>
      <c r="BG6" s="122">
        <v>3572.7000000000003</v>
      </c>
      <c r="BH6" s="119">
        <f t="shared" si="13"/>
        <v>8.2245560655878569E-2</v>
      </c>
      <c r="BI6" s="119">
        <f t="shared" ref="BI6:BI57" si="36">+BH6-BH5</f>
        <v>1.0408721237318772E-2</v>
      </c>
      <c r="BJ6" s="119">
        <v>3.6480000000000001</v>
      </c>
      <c r="BK6" s="124"/>
      <c r="BL6" s="119">
        <v>2227</v>
      </c>
      <c r="BM6" s="119">
        <f t="shared" si="23"/>
        <v>1.0471029133746046</v>
      </c>
      <c r="BN6" s="119">
        <f t="shared" si="14"/>
        <v>1.0504422277277199</v>
      </c>
      <c r="BO6" s="119">
        <v>1.0130861504907278</v>
      </c>
      <c r="BP6" s="119">
        <f t="shared" si="15"/>
        <v>7.1143177875160404E-3</v>
      </c>
      <c r="BQ6" s="119">
        <f t="shared" si="16"/>
        <v>4.7699536864879488E-2</v>
      </c>
      <c r="BR6" s="119">
        <f t="shared" si="24"/>
        <v>4.1171995812777709E-2</v>
      </c>
      <c r="BS6" s="119">
        <f t="shared" si="17"/>
        <v>-137.40953888096357</v>
      </c>
      <c r="BT6" s="124">
        <f t="shared" si="18"/>
        <v>-4.8377999171933727E-3</v>
      </c>
      <c r="BU6" s="58">
        <v>1335</v>
      </c>
      <c r="BV6" s="58">
        <v>1468.2</v>
      </c>
      <c r="BW6" s="58">
        <v>2803.2</v>
      </c>
      <c r="BX6" s="124">
        <f t="shared" si="19"/>
        <v>3.073244982103112E-2</v>
      </c>
      <c r="BY6" s="124">
        <f t="shared" si="20"/>
        <v>3.3798788634635125E-2</v>
      </c>
      <c r="BZ6" s="124">
        <f t="shared" si="25"/>
        <v>6.4531238455666246E-2</v>
      </c>
      <c r="CB6" s="145">
        <v>-5.3642114117999212E-3</v>
      </c>
      <c r="CC6" s="145">
        <v>1.0408721237318772E-2</v>
      </c>
      <c r="CD6" s="145">
        <v>4.2910526026393109E-3</v>
      </c>
      <c r="CE6" s="124">
        <v>-5.2312137783725125E-3</v>
      </c>
      <c r="CF6" s="146">
        <v>1.2127925991200912E-2</v>
      </c>
      <c r="CG6" s="124">
        <f t="shared" si="26"/>
        <v>-9.3804444090148965E-3</v>
      </c>
      <c r="CH6" s="146">
        <v>1.5686274509804088E-2</v>
      </c>
      <c r="CI6" s="124">
        <v>1.1819294624344657E-2</v>
      </c>
      <c r="CJ6" s="117">
        <v>1.0471029133746046</v>
      </c>
      <c r="CK6" s="145">
        <f t="shared" ref="CK6:CK57" si="37">CJ6-1</f>
        <v>4.7102913374604594E-2</v>
      </c>
      <c r="CL6" s="120">
        <v>-8.4749999999999996</v>
      </c>
      <c r="CM6" s="120">
        <v>3.944</v>
      </c>
      <c r="CN6" s="120">
        <v>1.8940000000000001</v>
      </c>
      <c r="CO6" s="124"/>
      <c r="CP6" s="124"/>
      <c r="CQ6" s="124"/>
      <c r="CR6" s="124"/>
      <c r="CS6" s="124"/>
      <c r="CT6" s="124"/>
      <c r="CU6" s="124"/>
      <c r="CV6" s="124"/>
      <c r="CW6" s="124"/>
      <c r="CX6" s="124"/>
      <c r="CY6" s="124"/>
      <c r="CZ6" s="124"/>
      <c r="DA6" s="124"/>
      <c r="DB6" s="124"/>
      <c r="DH6" s="124"/>
      <c r="DI6" s="124"/>
      <c r="EK6" s="179"/>
      <c r="EL6" s="182" t="s">
        <v>288</v>
      </c>
      <c r="EM6" s="183" t="s">
        <v>289</v>
      </c>
      <c r="EN6" s="183" t="s">
        <v>290</v>
      </c>
      <c r="EO6" s="183" t="s">
        <v>291</v>
      </c>
      <c r="EP6" s="117"/>
    </row>
    <row r="7" spans="1:146" s="119" customFormat="1">
      <c r="A7" s="117">
        <v>1964</v>
      </c>
      <c r="B7" s="145">
        <v>0.13157894736842102</v>
      </c>
      <c r="C7" s="145">
        <f>AVERAGE(B5:B25)</f>
        <v>0.28799570750836662</v>
      </c>
      <c r="D7" s="145"/>
      <c r="E7" s="145"/>
      <c r="F7" s="145"/>
      <c r="G7" s="145"/>
      <c r="H7" s="120">
        <v>667.09219828353764</v>
      </c>
      <c r="I7" s="120">
        <f t="shared" si="27"/>
        <v>103.4637321340935</v>
      </c>
      <c r="J7" s="280">
        <f t="shared" si="28"/>
        <v>1.4751864111837598E-2</v>
      </c>
      <c r="K7" s="223">
        <f t="shared" ref="K7:K16" si="38">AVERAGE($J$5:$J$16)</f>
        <v>2.6266415544124334E-2</v>
      </c>
      <c r="L7" s="219"/>
      <c r="M7" s="219"/>
      <c r="N7" s="219"/>
      <c r="O7" s="120">
        <v>499.78903416784345</v>
      </c>
      <c r="P7" s="203">
        <f t="shared" si="29"/>
        <v>0.99403751839441912</v>
      </c>
      <c r="Q7" s="160">
        <f t="shared" si="30"/>
        <v>1.4751864111837598E-2</v>
      </c>
      <c r="R7" s="160">
        <v>3.3847802589843656E-2</v>
      </c>
      <c r="S7" s="145">
        <f>AVERAGE(Q4:Q16)</f>
        <v>2.6266415544124334E-2</v>
      </c>
      <c r="T7" s="117">
        <v>83.726914580269479</v>
      </c>
      <c r="U7" s="117">
        <v>33.645000000000003</v>
      </c>
      <c r="V7" s="117"/>
      <c r="W7" s="119">
        <v>123.6</v>
      </c>
      <c r="X7" s="124">
        <f t="shared" si="31"/>
        <v>0</v>
      </c>
      <c r="Y7" s="119">
        <v>46286.816862199667</v>
      </c>
      <c r="Z7" s="117">
        <v>2692785.940305342</v>
      </c>
      <c r="AA7" s="119">
        <v>0.20841683366733468</v>
      </c>
      <c r="AB7" s="119">
        <f t="shared" si="0"/>
        <v>161.43129807692307</v>
      </c>
      <c r="AC7" s="119">
        <f t="shared" si="1"/>
        <v>309786.66100961535</v>
      </c>
      <c r="AD7" s="119">
        <f t="shared" si="2"/>
        <v>0.11504318125431383</v>
      </c>
      <c r="AE7" s="119">
        <f t="shared" si="32"/>
        <v>8.6119622945758645E-3</v>
      </c>
      <c r="AF7" s="119">
        <f t="shared" si="3"/>
        <v>4158.5219999999999</v>
      </c>
      <c r="AG7" s="145">
        <f t="shared" si="4"/>
        <v>8.9842470964903942E-2</v>
      </c>
      <c r="AH7" s="119">
        <f t="shared" si="5"/>
        <v>8.9842470964903942E-2</v>
      </c>
      <c r="AI7" s="120">
        <v>97.246582700599561</v>
      </c>
      <c r="AJ7" s="122">
        <f>+'Base_Budget Constraint'!T29/'Base_Budget Constraint'!$T$60</f>
        <v>1.0372009459426008</v>
      </c>
      <c r="AK7" s="119">
        <v>-581</v>
      </c>
      <c r="AL7" s="119">
        <v>1.9E-2</v>
      </c>
      <c r="AM7" s="119">
        <v>1.411</v>
      </c>
      <c r="AN7" s="58">
        <f t="shared" si="6"/>
        <v>0.17439959999999999</v>
      </c>
      <c r="AO7" s="58">
        <f t="shared" si="7"/>
        <v>0.19339959999999998</v>
      </c>
      <c r="AP7" s="121">
        <f t="shared" si="33"/>
        <v>-580.80660039999998</v>
      </c>
      <c r="AQ7" s="125">
        <f t="shared" si="21"/>
        <v>-1.2547991842453057E-2</v>
      </c>
      <c r="AR7" s="119">
        <v>4.3959999999999999</v>
      </c>
      <c r="AS7" s="119">
        <f t="shared" si="8"/>
        <v>21.092346153846151</v>
      </c>
      <c r="AT7" s="124">
        <f t="shared" si="9"/>
        <v>1.5031351606300002E-2</v>
      </c>
      <c r="AU7" s="119">
        <f t="shared" si="10"/>
        <v>543.34559999999999</v>
      </c>
      <c r="AV7" s="58">
        <v>453</v>
      </c>
      <c r="AW7" s="126">
        <f t="shared" si="34"/>
        <v>996.34559999999999</v>
      </c>
      <c r="AX7" s="119">
        <v>1.8102020291680673E-2</v>
      </c>
      <c r="AY7" s="58">
        <f t="shared" si="35"/>
        <v>55040.574695295232</v>
      </c>
      <c r="AZ7" s="127">
        <f t="shared" si="22"/>
        <v>2.0440011168898944E-2</v>
      </c>
      <c r="BA7" s="58">
        <f t="shared" si="11"/>
        <v>1.8102020291680672</v>
      </c>
      <c r="BB7" s="58"/>
      <c r="BC7" s="119">
        <f t="shared" si="12"/>
        <v>1124.3455999999999</v>
      </c>
      <c r="BD7" s="58"/>
      <c r="BE7" s="119">
        <v>-693</v>
      </c>
      <c r="BF7" s="119">
        <v>142</v>
      </c>
      <c r="BG7" s="122">
        <v>4374.3</v>
      </c>
      <c r="BH7" s="119">
        <f t="shared" si="13"/>
        <v>9.450423028705375E-2</v>
      </c>
      <c r="BI7" s="119">
        <f t="shared" si="36"/>
        <v>1.2258669631175181E-2</v>
      </c>
      <c r="BJ7" s="119">
        <v>5.9429999999999996</v>
      </c>
      <c r="BK7" s="124"/>
      <c r="BL7" s="119">
        <v>2774</v>
      </c>
      <c r="BM7" s="119">
        <f t="shared" si="23"/>
        <v>1.0421247735842041</v>
      </c>
      <c r="BN7" s="119">
        <f t="shared" si="14"/>
        <v>1.0392156862745097</v>
      </c>
      <c r="BO7" s="119">
        <v>1.0166846070990287</v>
      </c>
      <c r="BP7" s="119">
        <f t="shared" si="15"/>
        <v>8.8493676752784949E-3</v>
      </c>
      <c r="BQ7" s="119">
        <f t="shared" si="16"/>
        <v>4.6604250260068356E-2</v>
      </c>
      <c r="BR7" s="119">
        <f t="shared" si="24"/>
        <v>4.419105614686706E-2</v>
      </c>
      <c r="BS7" s="119">
        <f t="shared" si="17"/>
        <v>-154.29747851974412</v>
      </c>
      <c r="BT7" s="124">
        <f t="shared" si="18"/>
        <v>-5.0143723843636074E-3</v>
      </c>
      <c r="BU7" s="58">
        <v>1776.3000000000002</v>
      </c>
      <c r="BV7" s="58">
        <v>1831</v>
      </c>
      <c r="BW7" s="58">
        <v>3607.3</v>
      </c>
      <c r="BX7" s="124">
        <f t="shared" si="19"/>
        <v>3.8375937694921154E-2</v>
      </c>
      <c r="BY7" s="124">
        <f t="shared" si="20"/>
        <v>3.9557699667511471E-2</v>
      </c>
      <c r="BZ7" s="124">
        <f t="shared" si="25"/>
        <v>7.7933637362432626E-2</v>
      </c>
      <c r="CB7" s="145">
        <v>8.6119622945758645E-3</v>
      </c>
      <c r="CC7" s="145">
        <v>1.2258669631175181E-2</v>
      </c>
      <c r="CD7" s="145">
        <v>7.1143177875160404E-3</v>
      </c>
      <c r="CE7" s="124">
        <v>-4.8377999171933727E-3</v>
      </c>
      <c r="CF7" s="146">
        <v>1.2547991842453057E-2</v>
      </c>
      <c r="CG7" s="124">
        <f t="shared" si="26"/>
        <v>5.2434061817074017E-3</v>
      </c>
      <c r="CH7" s="146">
        <v>5.044222772771989E-2</v>
      </c>
      <c r="CI7" s="124">
        <v>1.5031351606300002E-2</v>
      </c>
      <c r="CJ7" s="117">
        <v>1.0421247735842041</v>
      </c>
      <c r="CK7" s="145">
        <f t="shared" si="37"/>
        <v>4.2124773584204078E-2</v>
      </c>
      <c r="CL7" s="120">
        <v>-12.898</v>
      </c>
      <c r="CM7" s="120">
        <v>12.981</v>
      </c>
      <c r="CN7" s="120">
        <v>5.0289999999999999</v>
      </c>
      <c r="CO7" s="124"/>
      <c r="CP7" s="124"/>
      <c r="CQ7" s="124"/>
      <c r="CR7" s="124"/>
      <c r="CS7" s="124"/>
      <c r="CT7" s="124"/>
      <c r="CU7" s="124"/>
      <c r="CV7" s="124"/>
      <c r="CW7" s="124"/>
      <c r="CX7" s="124"/>
      <c r="CY7" s="124"/>
      <c r="CZ7" s="124"/>
      <c r="DA7" s="124"/>
      <c r="DB7" s="124"/>
      <c r="DH7" s="124"/>
      <c r="DI7" s="124"/>
      <c r="EK7" s="178" t="s">
        <v>405</v>
      </c>
      <c r="EL7" s="184">
        <v>1.3215708241384702E-2</v>
      </c>
      <c r="EM7" s="184">
        <v>6.7765932956877148E-3</v>
      </c>
      <c r="EN7" s="184">
        <v>-1.0980124139191237E-2</v>
      </c>
      <c r="EO7" s="184">
        <v>-6.2633268088271932E-3</v>
      </c>
      <c r="EP7" s="117"/>
    </row>
    <row r="8" spans="1:146" s="119" customFormat="1">
      <c r="A8" s="117">
        <v>1965</v>
      </c>
      <c r="B8" s="145">
        <v>0.32558139534883712</v>
      </c>
      <c r="C8" s="145">
        <f>AVERAGE(B5:B25)</f>
        <v>0.28799570750836662</v>
      </c>
      <c r="D8" s="145"/>
      <c r="E8" s="145"/>
      <c r="F8" s="145"/>
      <c r="G8" s="145"/>
      <c r="H8" s="120">
        <v>689.67180332026362</v>
      </c>
      <c r="I8" s="120">
        <f t="shared" si="27"/>
        <v>106.96575211457677</v>
      </c>
      <c r="J8" s="280">
        <f t="shared" si="28"/>
        <v>3.3847802589843656E-2</v>
      </c>
      <c r="K8" s="223">
        <f t="shared" si="38"/>
        <v>2.6266415544124334E-2</v>
      </c>
      <c r="L8" s="219"/>
      <c r="M8" s="219"/>
      <c r="N8" s="219"/>
      <c r="O8" s="120">
        <v>506.15816940221515</v>
      </c>
      <c r="P8" s="203">
        <f t="shared" si="29"/>
        <v>1.0127436474171074</v>
      </c>
      <c r="Q8" s="160">
        <f t="shared" si="30"/>
        <v>3.3847802589843656E-2</v>
      </c>
      <c r="R8" s="160">
        <v>-6.9134105699745207E-3</v>
      </c>
      <c r="S8" s="145">
        <f>AVERAGE(Q4:Q16)</f>
        <v>2.6266415544124334E-2</v>
      </c>
      <c r="T8" s="117">
        <v>84.793900859002719</v>
      </c>
      <c r="U8" s="117">
        <v>41.984999999999999</v>
      </c>
      <c r="V8" s="117"/>
      <c r="W8" s="119">
        <v>123.6</v>
      </c>
      <c r="X8" s="124">
        <f t="shared" si="31"/>
        <v>0</v>
      </c>
      <c r="Y8" s="119">
        <v>50416.341077094468</v>
      </c>
      <c r="Z8" s="117">
        <v>2858876.2974237306</v>
      </c>
      <c r="AA8" s="119">
        <v>0.21242484969939879</v>
      </c>
      <c r="AB8" s="119">
        <f t="shared" si="0"/>
        <v>197.64636792452831</v>
      </c>
      <c r="AC8" s="119">
        <f t="shared" si="1"/>
        <v>379283.38004716981</v>
      </c>
      <c r="AD8" s="119">
        <f t="shared" si="2"/>
        <v>0.13266869237712736</v>
      </c>
      <c r="AE8" s="119">
        <f t="shared" si="32"/>
        <v>1.7625511122813534E-2</v>
      </c>
      <c r="AF8" s="119">
        <f t="shared" si="3"/>
        <v>5189.3459999999995</v>
      </c>
      <c r="AG8" s="145">
        <f t="shared" si="4"/>
        <v>0.10292984157784632</v>
      </c>
      <c r="AH8" s="119">
        <f t="shared" si="5"/>
        <v>0.10292984157784632</v>
      </c>
      <c r="AI8" s="120">
        <v>94.80535125231701</v>
      </c>
      <c r="AJ8" s="122">
        <f>+'Base_Budget Constraint'!T30/'Base_Budget Constraint'!$T$60</f>
        <v>1.0156712158904235</v>
      </c>
      <c r="AK8" s="119">
        <v>294</v>
      </c>
      <c r="AL8" s="119">
        <v>3.5000000000000003E-2</v>
      </c>
      <c r="AM8" s="119">
        <v>1.5680000000000001</v>
      </c>
      <c r="AN8" s="58">
        <f t="shared" si="6"/>
        <v>0.1938048</v>
      </c>
      <c r="AO8" s="58">
        <f t="shared" si="7"/>
        <v>0.2288048</v>
      </c>
      <c r="AP8" s="121">
        <f t="shared" si="33"/>
        <v>294.22880479999998</v>
      </c>
      <c r="AQ8" s="125">
        <f t="shared" si="21"/>
        <v>5.8359809243213054E-3</v>
      </c>
      <c r="AR8" s="119">
        <v>5.19</v>
      </c>
      <c r="AS8" s="119">
        <f t="shared" si="8"/>
        <v>24.432169811320758</v>
      </c>
      <c r="AT8" s="124">
        <f t="shared" si="9"/>
        <v>1.6399916956943938E-2</v>
      </c>
      <c r="AU8" s="119">
        <f t="shared" si="10"/>
        <v>641.48400000000004</v>
      </c>
      <c r="AV8" s="58">
        <v>601</v>
      </c>
      <c r="AW8" s="126">
        <f t="shared" si="34"/>
        <v>1242.4839999999999</v>
      </c>
      <c r="AX8" s="119">
        <v>1.8797613469513863E-2</v>
      </c>
      <c r="AY8" s="58">
        <f t="shared" si="35"/>
        <v>66097.965149409603</v>
      </c>
      <c r="AZ8" s="127">
        <f t="shared" si="22"/>
        <v>2.3120260645405896E-2</v>
      </c>
      <c r="BA8" s="58">
        <f t="shared" si="11"/>
        <v>1.8797613469513863</v>
      </c>
      <c r="BB8" s="58"/>
      <c r="BC8" s="119">
        <f t="shared" si="12"/>
        <v>347.48400000000004</v>
      </c>
      <c r="BD8" s="58"/>
      <c r="BE8" s="119">
        <v>282</v>
      </c>
      <c r="BF8" s="119">
        <v>23</v>
      </c>
      <c r="BG8" s="122">
        <v>5048.6000000000004</v>
      </c>
      <c r="BH8" s="119">
        <f t="shared" si="13"/>
        <v>0.1001381673509369</v>
      </c>
      <c r="BI8" s="119">
        <f t="shared" si="36"/>
        <v>5.6339370638831543E-3</v>
      </c>
      <c r="BJ8" s="119">
        <v>11.443</v>
      </c>
      <c r="BK8" s="124"/>
      <c r="BL8" s="119">
        <v>3139</v>
      </c>
      <c r="BM8" s="119">
        <f t="shared" si="23"/>
        <v>1.0616797475923969</v>
      </c>
      <c r="BN8" s="119">
        <f t="shared" si="14"/>
        <v>1.0132075471698114</v>
      </c>
      <c r="BO8" s="119">
        <v>1.0299100052948482</v>
      </c>
      <c r="BP8" s="119">
        <f t="shared" si="15"/>
        <v>3.2351657460736754E-3</v>
      </c>
      <c r="BQ8" s="119">
        <f t="shared" si="16"/>
        <v>3.6227224008574491E-2</v>
      </c>
      <c r="BR8" s="119">
        <f t="shared" si="24"/>
        <v>4.4367223890748056E-2</v>
      </c>
      <c r="BS8" s="119">
        <f t="shared" si="17"/>
        <v>-188.87734726762758</v>
      </c>
      <c r="BT8" s="124">
        <f t="shared" si="18"/>
        <v>-6.0321046846852772E-3</v>
      </c>
      <c r="BU8" s="58">
        <v>1929</v>
      </c>
      <c r="BV8" s="58">
        <v>2410</v>
      </c>
      <c r="BW8" s="58">
        <v>4339</v>
      </c>
      <c r="BX8" s="124">
        <f t="shared" si="19"/>
        <v>3.8261404115984089E-2</v>
      </c>
      <c r="BY8" s="124">
        <f t="shared" si="20"/>
        <v>4.7801961596434246E-2</v>
      </c>
      <c r="BZ8" s="124">
        <f t="shared" si="25"/>
        <v>8.6063365712418335E-2</v>
      </c>
      <c r="CB8" s="145">
        <v>1.7625511122813534E-2</v>
      </c>
      <c r="CC8" s="145">
        <v>5.6339370638831543E-3</v>
      </c>
      <c r="CD8" s="145">
        <v>8.8493676752784949E-3</v>
      </c>
      <c r="CE8" s="124">
        <v>-5.0143723843636074E-3</v>
      </c>
      <c r="CF8" s="146">
        <v>-5.8359809243213054E-3</v>
      </c>
      <c r="CG8" s="124">
        <f t="shared" si="26"/>
        <v>2.6559252213716158E-2</v>
      </c>
      <c r="CH8" s="146">
        <v>3.9215686274509665E-2</v>
      </c>
      <c r="CI8" s="124">
        <v>1.6399916956943938E-2</v>
      </c>
      <c r="CJ8" s="117">
        <v>1.0616797475923969</v>
      </c>
      <c r="CK8" s="145">
        <f t="shared" si="37"/>
        <v>6.1679747592396916E-2</v>
      </c>
      <c r="CL8" s="120">
        <v>-8.3650000000000002</v>
      </c>
      <c r="CM8" s="120">
        <v>12.687000000000001</v>
      </c>
      <c r="CN8" s="120">
        <v>10.747999999999999</v>
      </c>
      <c r="CO8" s="124"/>
      <c r="CP8" s="124"/>
      <c r="CQ8" s="124"/>
      <c r="CR8" s="124"/>
      <c r="CS8" s="124"/>
      <c r="CT8" s="124"/>
      <c r="CU8" s="124"/>
      <c r="CV8" s="124"/>
      <c r="CW8" s="124"/>
      <c r="CX8" s="124"/>
      <c r="CY8" s="124"/>
      <c r="CZ8" s="124"/>
      <c r="DA8" s="124"/>
      <c r="DB8" s="124"/>
      <c r="DH8" s="124"/>
      <c r="DI8" s="124"/>
      <c r="EK8" s="178" t="s">
        <v>404</v>
      </c>
      <c r="EL8" s="184">
        <v>4.5122344911136788E-3</v>
      </c>
      <c r="EM8" s="184">
        <v>-2.3358038647703448E-3</v>
      </c>
      <c r="EN8" s="184">
        <v>-7.8441294219388656E-4</v>
      </c>
      <c r="EO8" s="184">
        <v>2.1896503070858138E-3</v>
      </c>
      <c r="EP8" s="117"/>
    </row>
    <row r="9" spans="1:146" s="119" customFormat="1">
      <c r="A9" s="117">
        <v>1966</v>
      </c>
      <c r="B9" s="145">
        <v>-2.9239766081871399E-2</v>
      </c>
      <c r="C9" s="145">
        <f>AVERAGE(B5:B25)</f>
        <v>0.28799570750836662</v>
      </c>
      <c r="D9" s="145"/>
      <c r="E9" s="145"/>
      <c r="F9" s="145"/>
      <c r="G9" s="145"/>
      <c r="H9" s="120">
        <v>684.90381898537589</v>
      </c>
      <c r="I9" s="120">
        <f t="shared" si="27"/>
        <v>106.22625395328258</v>
      </c>
      <c r="J9" s="280">
        <f t="shared" si="28"/>
        <v>-6.9134105699745207E-3</v>
      </c>
      <c r="K9" s="223">
        <f t="shared" si="38"/>
        <v>2.6266415544124334E-2</v>
      </c>
      <c r="L9" s="219"/>
      <c r="M9" s="219"/>
      <c r="N9" s="219"/>
      <c r="O9" s="120">
        <v>492.39800728490127</v>
      </c>
      <c r="P9" s="203">
        <f t="shared" si="29"/>
        <v>0.97281450157454741</v>
      </c>
      <c r="Q9" s="160">
        <f t="shared" si="30"/>
        <v>-6.9134105699745207E-3</v>
      </c>
      <c r="R9" s="160">
        <v>6.2699650837064524E-2</v>
      </c>
      <c r="S9" s="145">
        <f>AVERAGE(Q4:Q16)</f>
        <v>2.6266415544124334E-2</v>
      </c>
      <c r="T9" s="117">
        <v>82.488736400712313</v>
      </c>
      <c r="U9" s="117">
        <v>52.198999999999998</v>
      </c>
      <c r="V9" s="117"/>
      <c r="W9" s="119">
        <v>123.87</v>
      </c>
      <c r="X9" s="124">
        <f t="shared" si="31"/>
        <v>2.1844660194174637E-3</v>
      </c>
      <c r="Y9" s="119">
        <v>53134.255667617959</v>
      </c>
      <c r="Z9" s="117">
        <v>2915810.9141769381</v>
      </c>
      <c r="AA9" s="119">
        <v>0.21977287909151638</v>
      </c>
      <c r="AB9" s="119">
        <f t="shared" si="0"/>
        <v>237.51338297872337</v>
      </c>
      <c r="AC9" s="119">
        <f t="shared" si="1"/>
        <v>455788.18193617015</v>
      </c>
      <c r="AD9" s="119">
        <f t="shared" si="2"/>
        <v>0.15631609708300581</v>
      </c>
      <c r="AE9" s="119">
        <f t="shared" si="32"/>
        <v>2.364740470587845E-2</v>
      </c>
      <c r="AF9" s="119">
        <f t="shared" si="3"/>
        <v>6465.8901299999998</v>
      </c>
      <c r="AG9" s="145">
        <f t="shared" si="4"/>
        <v>0.12168967173356979</v>
      </c>
      <c r="AH9" s="119">
        <f t="shared" si="5"/>
        <v>0.12168967173356979</v>
      </c>
      <c r="AI9" s="120">
        <v>92.90800143748848</v>
      </c>
      <c r="AJ9" s="122">
        <f>+'Base_Budget Constraint'!T31/'Base_Budget Constraint'!$T$60</f>
        <v>1.0337651897298505</v>
      </c>
      <c r="AK9" s="119">
        <v>-921</v>
      </c>
      <c r="AL9" s="119">
        <v>4.1000000000000002E-2</v>
      </c>
      <c r="AM9" s="119">
        <v>1.5209999999999999</v>
      </c>
      <c r="AN9" s="58">
        <f t="shared" si="6"/>
        <v>0.18840627000000001</v>
      </c>
      <c r="AO9" s="58">
        <f t="shared" si="7"/>
        <v>0.22940627000000002</v>
      </c>
      <c r="AP9" s="121">
        <f t="shared" si="33"/>
        <v>-920.77059372999997</v>
      </c>
      <c r="AQ9" s="125">
        <f t="shared" si="21"/>
        <v>-1.7329133195915881E-2</v>
      </c>
      <c r="AR9" s="119">
        <v>3.0019999999999998</v>
      </c>
      <c r="AS9" s="119">
        <f t="shared" si="8"/>
        <v>13.659556231003037</v>
      </c>
      <c r="AT9" s="124">
        <f t="shared" si="9"/>
        <v>8.9898450821506819E-3</v>
      </c>
      <c r="AU9" s="119">
        <f t="shared" si="10"/>
        <v>371.85773999999998</v>
      </c>
      <c r="AV9" s="58">
        <v>659</v>
      </c>
      <c r="AW9" s="126">
        <f t="shared" si="34"/>
        <v>1030.8577399999999</v>
      </c>
      <c r="AX9" s="119">
        <v>1.9340809877366243E-2</v>
      </c>
      <c r="AY9" s="58">
        <f t="shared" si="35"/>
        <v>53299.616021062822</v>
      </c>
      <c r="AZ9" s="127">
        <f t="shared" si="22"/>
        <v>1.8279517290341166E-2</v>
      </c>
      <c r="BA9" s="58">
        <f t="shared" si="11"/>
        <v>1.9340809877366243</v>
      </c>
      <c r="BB9" s="58"/>
      <c r="BC9" s="119">
        <f t="shared" si="12"/>
        <v>1292.8577399999999</v>
      </c>
      <c r="BD9" s="58"/>
      <c r="BE9" s="119">
        <v>-25</v>
      </c>
      <c r="BF9" s="119">
        <v>-1007</v>
      </c>
      <c r="BG9" s="122">
        <v>5238.6000000000004</v>
      </c>
      <c r="BH9" s="119">
        <f t="shared" si="13"/>
        <v>9.8591764092267178E-2</v>
      </c>
      <c r="BI9" s="119">
        <f t="shared" si="36"/>
        <v>-1.5464032586697263E-3</v>
      </c>
      <c r="BJ9" s="119">
        <v>11.443</v>
      </c>
      <c r="BK9" s="124"/>
      <c r="BL9" s="119">
        <v>3155</v>
      </c>
      <c r="BM9" s="119">
        <f t="shared" si="23"/>
        <v>1.0199150333312827</v>
      </c>
      <c r="BN9" s="119">
        <f t="shared" si="14"/>
        <v>1.0055865921787708</v>
      </c>
      <c r="BO9" s="119">
        <v>1.0277563608336651</v>
      </c>
      <c r="BP9" s="119">
        <f t="shared" si="15"/>
        <v>8.7670254488262708E-3</v>
      </c>
      <c r="BQ9" s="119">
        <f t="shared" si="16"/>
        <v>4.5326538822582814E-2</v>
      </c>
      <c r="BR9" s="119">
        <f t="shared" si="24"/>
        <v>3.2293839469594673E-2</v>
      </c>
      <c r="BS9" s="119">
        <f t="shared" si="17"/>
        <v>-229.84316391692812</v>
      </c>
      <c r="BT9" s="124">
        <f t="shared" si="18"/>
        <v>-6.7161633740623608E-3</v>
      </c>
      <c r="BU9" s="58">
        <v>2043.8000000000002</v>
      </c>
      <c r="BV9" s="58">
        <v>2587</v>
      </c>
      <c r="BW9" s="58">
        <v>4630.8</v>
      </c>
      <c r="BX9" s="124">
        <f t="shared" si="19"/>
        <v>3.846482790283199E-2</v>
      </c>
      <c r="BY9" s="124">
        <f t="shared" si="20"/>
        <v>4.8687987956075131E-2</v>
      </c>
      <c r="BZ9" s="124">
        <f t="shared" si="25"/>
        <v>8.7152815858907121E-2</v>
      </c>
      <c r="CB9" s="145">
        <v>2.364740470587845E-2</v>
      </c>
      <c r="CC9" s="145">
        <v>-1.5464032586697263E-3</v>
      </c>
      <c r="CD9" s="145">
        <v>3.2351657460736754E-3</v>
      </c>
      <c r="CE9" s="124">
        <v>-6.0321046846852772E-3</v>
      </c>
      <c r="CF9" s="146">
        <v>1.7329133195915881E-2</v>
      </c>
      <c r="CG9" s="124">
        <f t="shared" si="26"/>
        <v>5.0492935999011147E-3</v>
      </c>
      <c r="CH9" s="146">
        <v>1.3207547169811429E-2</v>
      </c>
      <c r="CI9" s="124">
        <v>8.9898450821506819E-3</v>
      </c>
      <c r="CJ9" s="117">
        <v>1.0199150333312827</v>
      </c>
      <c r="CK9" s="145">
        <f t="shared" si="37"/>
        <v>1.991503333128275E-2</v>
      </c>
      <c r="CL9" s="120">
        <v>-17.928000000000001</v>
      </c>
      <c r="CM9" s="120">
        <v>12.804</v>
      </c>
      <c r="CN9" s="120">
        <v>10.77</v>
      </c>
      <c r="CO9" s="124"/>
      <c r="CP9" s="124"/>
      <c r="CQ9" s="124"/>
      <c r="CR9" s="124"/>
      <c r="CS9" s="124"/>
      <c r="CT9" s="124"/>
      <c r="CU9" s="124"/>
      <c r="CV9" s="124"/>
      <c r="CW9" s="124"/>
      <c r="CX9" s="124"/>
      <c r="CY9" s="124"/>
      <c r="CZ9" s="124"/>
      <c r="DA9" s="124"/>
      <c r="DB9" s="124"/>
      <c r="DH9" s="124"/>
      <c r="DI9" s="124"/>
      <c r="EK9" s="179" t="s">
        <v>401</v>
      </c>
      <c r="EL9" s="185">
        <v>9.109908517944125E-3</v>
      </c>
      <c r="EM9" s="185">
        <v>2.5192620409144842E-2</v>
      </c>
      <c r="EN9" s="185">
        <v>1.1304266797062146E-2</v>
      </c>
      <c r="EO9" s="185">
        <v>9.7582820464023889E-3</v>
      </c>
      <c r="EP9" s="117"/>
    </row>
    <row r="10" spans="1:146" s="119" customFormat="1" ht="15" thickBot="1">
      <c r="A10" s="117">
        <v>1967</v>
      </c>
      <c r="B10" s="145">
        <v>0.18072289156626509</v>
      </c>
      <c r="C10" s="145">
        <f>AVERAGE(B5:B25)</f>
        <v>0.28799570750836662</v>
      </c>
      <c r="D10" s="145"/>
      <c r="E10" s="145"/>
      <c r="F10" s="145"/>
      <c r="G10" s="145"/>
      <c r="H10" s="120">
        <v>727.84704929273096</v>
      </c>
      <c r="I10" s="120">
        <f t="shared" si="27"/>
        <v>112.88660298588273</v>
      </c>
      <c r="J10" s="280">
        <f t="shared" si="28"/>
        <v>6.2699650837064524E-2</v>
      </c>
      <c r="K10" s="223">
        <f t="shared" si="38"/>
        <v>2.6266415544124334E-2</v>
      </c>
      <c r="L10" s="219"/>
      <c r="M10" s="219"/>
      <c r="N10" s="219"/>
      <c r="O10" s="120">
        <v>512.58954426481057</v>
      </c>
      <c r="P10" s="203">
        <f t="shared" si="29"/>
        <v>1.0410065367470638</v>
      </c>
      <c r="Q10" s="160">
        <f t="shared" si="30"/>
        <v>6.2699650837064524E-2</v>
      </c>
      <c r="R10" s="160">
        <v>1.7853520391071909E-2</v>
      </c>
      <c r="S10" s="145">
        <f>AVERAGE(Q4:Q16)</f>
        <v>2.6266415544124334E-2</v>
      </c>
      <c r="T10" s="117">
        <v>85.871313801146982</v>
      </c>
      <c r="U10" s="117">
        <v>78.063000000000002</v>
      </c>
      <c r="V10" s="117"/>
      <c r="W10" s="119">
        <v>123.87</v>
      </c>
      <c r="X10" s="124">
        <f t="shared" si="31"/>
        <v>0</v>
      </c>
      <c r="Y10" s="119">
        <v>56892.039691923026</v>
      </c>
      <c r="Z10" s="117">
        <v>3182618.3198043886</v>
      </c>
      <c r="AA10" s="119">
        <v>0.22645290581162322</v>
      </c>
      <c r="AB10" s="119">
        <f t="shared" si="0"/>
        <v>344.72068141592928</v>
      </c>
      <c r="AC10" s="119">
        <f t="shared" si="1"/>
        <v>661518.98763716826</v>
      </c>
      <c r="AD10" s="119">
        <f t="shared" si="2"/>
        <v>0.20785369817070204</v>
      </c>
      <c r="AE10" s="119">
        <f t="shared" si="32"/>
        <v>5.1537601087696228E-2</v>
      </c>
      <c r="AF10" s="119">
        <f t="shared" si="3"/>
        <v>9669.66381</v>
      </c>
      <c r="AG10" s="145">
        <f t="shared" si="4"/>
        <v>0.16996514560494486</v>
      </c>
      <c r="AH10" s="119">
        <f t="shared" si="5"/>
        <v>0.16996514560494486</v>
      </c>
      <c r="AI10" s="120">
        <v>93.121154704388019</v>
      </c>
      <c r="AJ10" s="122">
        <f>+'Base_Budget Constraint'!T32/'Base_Budget Constraint'!$T$60</f>
        <v>1.0406806210843067</v>
      </c>
      <c r="AK10" s="119">
        <v>-2648</v>
      </c>
      <c r="AL10" s="119">
        <v>4.7E-2</v>
      </c>
      <c r="AM10" s="119">
        <v>2.3660000000000001</v>
      </c>
      <c r="AN10" s="58">
        <f t="shared" si="6"/>
        <v>0.29307642000000006</v>
      </c>
      <c r="AO10" s="58">
        <f t="shared" si="7"/>
        <v>0.34007642000000005</v>
      </c>
      <c r="AP10" s="121">
        <f t="shared" si="33"/>
        <v>-2647.6599235799999</v>
      </c>
      <c r="AQ10" s="125">
        <f t="shared" si="21"/>
        <v>-4.6538319559597169E-2</v>
      </c>
      <c r="AR10" s="119">
        <v>4.46</v>
      </c>
      <c r="AS10" s="119">
        <f t="shared" si="8"/>
        <v>19.695044247787614</v>
      </c>
      <c r="AT10" s="124">
        <f t="shared" si="9"/>
        <v>1.187537621973702E-2</v>
      </c>
      <c r="AU10" s="119">
        <f t="shared" si="10"/>
        <v>552.46019999999999</v>
      </c>
      <c r="AV10" s="58">
        <v>724</v>
      </c>
      <c r="AW10" s="126">
        <f t="shared" si="34"/>
        <v>1276.4602</v>
      </c>
      <c r="AX10" s="119">
        <v>1.960486368673893E-2</v>
      </c>
      <c r="AY10" s="58">
        <f t="shared" si="35"/>
        <v>65109.363696490269</v>
      </c>
      <c r="AZ10" s="127">
        <f t="shared" si="22"/>
        <v>2.0457798313839922E-2</v>
      </c>
      <c r="BA10" s="58">
        <f t="shared" si="11"/>
        <v>1.9604863686738929</v>
      </c>
      <c r="BB10" s="58"/>
      <c r="BC10" s="119">
        <f t="shared" si="12"/>
        <v>3200.4602</v>
      </c>
      <c r="BD10" s="58"/>
      <c r="BE10" s="119">
        <v>-511</v>
      </c>
      <c r="BF10" s="119">
        <v>-2181</v>
      </c>
      <c r="BG10" s="122">
        <v>5787</v>
      </c>
      <c r="BH10" s="119">
        <f t="shared" si="13"/>
        <v>0.10171897564821501</v>
      </c>
      <c r="BI10" s="119">
        <f t="shared" si="36"/>
        <v>3.1272115559478342E-3</v>
      </c>
      <c r="BJ10" s="119">
        <v>12.291</v>
      </c>
      <c r="BK10" s="124"/>
      <c r="BL10" s="119">
        <v>3236</v>
      </c>
      <c r="BM10" s="119">
        <f t="shared" si="23"/>
        <v>1.091503672042041</v>
      </c>
      <c r="BN10" s="119">
        <f t="shared" si="14"/>
        <v>1.0268518518518519</v>
      </c>
      <c r="BO10" s="119">
        <v>1.04217721096539</v>
      </c>
      <c r="BP10" s="119">
        <f t="shared" si="15"/>
        <v>6.9501727944649636E-3</v>
      </c>
      <c r="BQ10" s="119">
        <f t="shared" si="16"/>
        <v>3.3357672649014257E-2</v>
      </c>
      <c r="BR10" s="119">
        <f t="shared" si="24"/>
        <v>4.1608512688264231E-2</v>
      </c>
      <c r="BS10" s="119">
        <f t="shared" si="17"/>
        <v>-330.37736656932748</v>
      </c>
      <c r="BT10" s="124">
        <f t="shared" si="18"/>
        <v>-9.436799098392441E-3</v>
      </c>
      <c r="BU10" s="58">
        <v>2453.5</v>
      </c>
      <c r="BV10" s="58">
        <v>2546.4</v>
      </c>
      <c r="BW10" s="58">
        <v>4999.8999999999996</v>
      </c>
      <c r="BX10" s="124">
        <f t="shared" si="19"/>
        <v>4.3125541170363837E-2</v>
      </c>
      <c r="BY10" s="124">
        <f t="shared" si="20"/>
        <v>4.4758458543392901E-2</v>
      </c>
      <c r="BZ10" s="124">
        <f t="shared" si="25"/>
        <v>8.7883999713756725E-2</v>
      </c>
      <c r="CB10" s="145">
        <v>5.1537601087696228E-2</v>
      </c>
      <c r="CC10" s="145">
        <v>3.1272115559478342E-3</v>
      </c>
      <c r="CD10" s="145">
        <v>8.7670254488262708E-3</v>
      </c>
      <c r="CE10" s="124">
        <v>-6.7161633740623608E-3</v>
      </c>
      <c r="CF10" s="146">
        <v>4.6538319559597169E-2</v>
      </c>
      <c r="CG10" s="124">
        <f t="shared" si="26"/>
        <v>1.17343056871985E-2</v>
      </c>
      <c r="CH10" s="146">
        <v>5.5865921787707773E-3</v>
      </c>
      <c r="CI10" s="124">
        <v>1.187537621973702E-2</v>
      </c>
      <c r="CJ10" s="117">
        <v>1.091503672042041</v>
      </c>
      <c r="CK10" s="145">
        <f t="shared" si="37"/>
        <v>9.1503672042041018E-2</v>
      </c>
      <c r="CL10" s="120">
        <v>-29.734000000000002</v>
      </c>
      <c r="CM10" s="120">
        <v>19.033999999999999</v>
      </c>
      <c r="CN10" s="120">
        <v>11</v>
      </c>
      <c r="CO10" s="124"/>
      <c r="CP10" s="124"/>
      <c r="CQ10" s="124"/>
      <c r="CR10" s="124"/>
      <c r="CS10" s="124"/>
      <c r="CT10" s="124"/>
      <c r="CU10" s="124"/>
      <c r="CV10" s="124"/>
      <c r="CW10" s="124"/>
      <c r="CX10" s="124"/>
      <c r="CY10" s="124"/>
      <c r="CZ10" s="124"/>
      <c r="DA10" s="124"/>
      <c r="DB10" s="124"/>
      <c r="DH10" s="124"/>
      <c r="DI10" s="124"/>
      <c r="ED10" s="131"/>
      <c r="EE10" s="132" t="s">
        <v>288</v>
      </c>
      <c r="EF10" s="131" t="s">
        <v>289</v>
      </c>
      <c r="EG10" s="131" t="s">
        <v>290</v>
      </c>
      <c r="EH10" s="131" t="s">
        <v>291</v>
      </c>
      <c r="EK10" s="187" t="s">
        <v>233</v>
      </c>
      <c r="EL10" s="188">
        <f>SUM(EL7:EL9)</f>
        <v>2.6837851250442506E-2</v>
      </c>
      <c r="EM10" s="188">
        <f>SUM(EM7:EM9)</f>
        <v>2.9633409840062214E-2</v>
      </c>
      <c r="EN10" s="188">
        <f>SUM(EN7:EN9)</f>
        <v>-4.6027028432297883E-4</v>
      </c>
      <c r="EO10" s="188">
        <f>SUM(EO7:EO9)</f>
        <v>5.6846055446610096E-3</v>
      </c>
      <c r="EP10" s="117"/>
    </row>
    <row r="11" spans="1:146" s="119" customFormat="1">
      <c r="A11" s="117">
        <v>1968</v>
      </c>
      <c r="B11" s="145">
        <v>0.11224489795918369</v>
      </c>
      <c r="C11" s="145">
        <f>AVERAGE(B5:B25)</f>
        <v>0.28799570750836662</v>
      </c>
      <c r="D11" s="145"/>
      <c r="E11" s="145"/>
      <c r="F11" s="145"/>
      <c r="G11" s="145"/>
      <c r="H11" s="120">
        <v>740.84168142886017</v>
      </c>
      <c r="I11" s="120">
        <f t="shared" si="27"/>
        <v>114.90202625417001</v>
      </c>
      <c r="J11" s="280">
        <f t="shared" si="28"/>
        <v>1.7853520391071909E-2</v>
      </c>
      <c r="K11" s="223">
        <f t="shared" si="38"/>
        <v>2.6266415544124334E-2</v>
      </c>
      <c r="L11" s="219"/>
      <c r="M11" s="219"/>
      <c r="N11" s="219"/>
      <c r="O11" s="120">
        <v>511.09066062566939</v>
      </c>
      <c r="P11" s="203">
        <f t="shared" si="29"/>
        <v>0.99707585990406622</v>
      </c>
      <c r="Q11" s="160">
        <f t="shared" si="30"/>
        <v>1.7853520391071909E-2</v>
      </c>
      <c r="R11" s="160">
        <v>1.994557631303806E-2</v>
      </c>
      <c r="S11" s="145">
        <f>AVERAGE(Q4:Q16)</f>
        <v>2.6266415544124334E-2</v>
      </c>
      <c r="T11" s="117">
        <v>85.620214049370531</v>
      </c>
      <c r="U11" s="117">
        <v>100.02</v>
      </c>
      <c r="V11" s="117"/>
      <c r="W11" s="119">
        <v>123.6</v>
      </c>
      <c r="X11" s="124">
        <f t="shared" si="31"/>
        <v>-2.1797045289416728E-3</v>
      </c>
      <c r="Y11" s="119">
        <v>60103.576598544991</v>
      </c>
      <c r="Z11" s="117">
        <v>3326697.8012297112</v>
      </c>
      <c r="AA11" s="119">
        <v>0.23714094856379425</v>
      </c>
      <c r="AB11" s="119">
        <f t="shared" si="0"/>
        <v>421.77447887323945</v>
      </c>
      <c r="AC11" s="119">
        <f t="shared" si="1"/>
        <v>809385.22495774645</v>
      </c>
      <c r="AD11" s="119">
        <f t="shared" si="2"/>
        <v>0.24329989476608241</v>
      </c>
      <c r="AE11" s="119">
        <f t="shared" si="32"/>
        <v>3.5446196595380369E-2</v>
      </c>
      <c r="AF11" s="119">
        <f t="shared" si="3"/>
        <v>12362.472</v>
      </c>
      <c r="AG11" s="145">
        <f t="shared" si="4"/>
        <v>0.20568612884011422</v>
      </c>
      <c r="AH11" s="119">
        <f t="shared" si="5"/>
        <v>0.20568612884011422</v>
      </c>
      <c r="AI11" s="120">
        <v>92.998130676688973</v>
      </c>
      <c r="AJ11" s="122">
        <f>+'Base_Budget Constraint'!T33/'Base_Budget Constraint'!$T$60</f>
        <v>1.0428636253770278</v>
      </c>
      <c r="AK11" s="119">
        <v>-2991</v>
      </c>
      <c r="AL11" s="119">
        <v>4.5999999999999999E-2</v>
      </c>
      <c r="AM11" s="119">
        <v>2.6040000000000001</v>
      </c>
      <c r="AN11" s="58">
        <f t="shared" si="6"/>
        <v>0.32185439999999998</v>
      </c>
      <c r="AO11" s="58">
        <f t="shared" si="7"/>
        <v>0.36785439999999997</v>
      </c>
      <c r="AP11" s="121">
        <f t="shared" si="33"/>
        <v>-2990.6321456000001</v>
      </c>
      <c r="AQ11" s="125">
        <f t="shared" si="21"/>
        <v>-4.975797306665438E-2</v>
      </c>
      <c r="AR11" s="119">
        <v>6.8019999999999996</v>
      </c>
      <c r="AS11" s="119">
        <f t="shared" si="8"/>
        <v>28.683363380281691</v>
      </c>
      <c r="AT11" s="124">
        <f t="shared" si="9"/>
        <v>1.6545949652058512E-2</v>
      </c>
      <c r="AU11" s="119">
        <f t="shared" si="10"/>
        <v>840.72719999999993</v>
      </c>
      <c r="AV11" s="58">
        <v>695</v>
      </c>
      <c r="AW11" s="126">
        <f t="shared" si="34"/>
        <v>1535.7271999999998</v>
      </c>
      <c r="AX11" s="119">
        <v>1.974368054652343E-2</v>
      </c>
      <c r="AY11" s="58">
        <f t="shared" si="35"/>
        <v>77783.227720953917</v>
      </c>
      <c r="AZ11" s="127">
        <f t="shared" si="22"/>
        <v>2.3381512950229926E-2</v>
      </c>
      <c r="BA11" s="58">
        <f t="shared" si="11"/>
        <v>1.974368054652343</v>
      </c>
      <c r="BB11" s="58"/>
      <c r="BC11" s="119">
        <f t="shared" si="12"/>
        <v>3831.7271999999998</v>
      </c>
      <c r="BD11" s="58"/>
      <c r="BE11" s="119">
        <v>-1360</v>
      </c>
      <c r="BF11" s="119">
        <v>-1425</v>
      </c>
      <c r="BG11" s="122">
        <v>6476</v>
      </c>
      <c r="BH11" s="119">
        <f t="shared" si="13"/>
        <v>0.10774733163145525</v>
      </c>
      <c r="BI11" s="119">
        <f t="shared" si="36"/>
        <v>6.0283559832402384E-3</v>
      </c>
      <c r="BJ11" s="119">
        <v>12.26</v>
      </c>
      <c r="BK11" s="124"/>
      <c r="BL11" s="119">
        <v>3547</v>
      </c>
      <c r="BM11" s="119">
        <f t="shared" si="23"/>
        <v>1.0452707384133257</v>
      </c>
      <c r="BN11" s="119">
        <f t="shared" si="14"/>
        <v>0.99729486023444536</v>
      </c>
      <c r="BO11" s="119">
        <v>1.0541470047240464</v>
      </c>
      <c r="BP11" s="119">
        <f t="shared" si="15"/>
        <v>4.5587874943887382E-3</v>
      </c>
      <c r="BQ11" s="119">
        <f t="shared" si="16"/>
        <v>3.589282143571286E-2</v>
      </c>
      <c r="BR11" s="119">
        <f t="shared" si="24"/>
        <v>3.0223385158559931E-2</v>
      </c>
      <c r="BS11" s="119">
        <f t="shared" si="17"/>
        <v>-409.02702634820264</v>
      </c>
      <c r="BT11" s="124">
        <f t="shared" si="18"/>
        <v>-1.131295145071377E-2</v>
      </c>
      <c r="BU11" s="58">
        <v>2809</v>
      </c>
      <c r="BV11" s="58">
        <v>2052.1</v>
      </c>
      <c r="BW11" s="58">
        <v>4861.1000000000004</v>
      </c>
      <c r="BX11" s="124">
        <f t="shared" si="19"/>
        <v>4.6735987423217697E-2</v>
      </c>
      <c r="BY11" s="124">
        <f t="shared" si="20"/>
        <v>3.4142726874754371E-2</v>
      </c>
      <c r="BZ11" s="124">
        <f t="shared" si="25"/>
        <v>8.0878714297972068E-2</v>
      </c>
      <c r="CB11" s="145">
        <v>3.5446196595380369E-2</v>
      </c>
      <c r="CC11" s="145">
        <v>6.0283559832402384E-3</v>
      </c>
      <c r="CD11" s="145">
        <v>6.9501727944649636E-3</v>
      </c>
      <c r="CE11" s="124">
        <v>-9.436799098392441E-3</v>
      </c>
      <c r="CF11" s="146">
        <v>4.975797306665438E-2</v>
      </c>
      <c r="CG11" s="124">
        <f t="shared" si="26"/>
        <v>-8.4423982472348804E-3</v>
      </c>
      <c r="CH11" s="146">
        <v>2.6851851851851904E-2</v>
      </c>
      <c r="CI11" s="124">
        <v>1.6545949652058512E-2</v>
      </c>
      <c r="CJ11" s="117">
        <v>1.0452707384133257</v>
      </c>
      <c r="CK11" s="145">
        <f t="shared" si="37"/>
        <v>4.527073841332574E-2</v>
      </c>
      <c r="CL11" s="120">
        <v>-36.295000000000002</v>
      </c>
      <c r="CM11" s="120">
        <v>24.499000000000002</v>
      </c>
      <c r="CN11" s="120">
        <v>9.8569999999999993</v>
      </c>
      <c r="CO11" s="124"/>
      <c r="CP11" s="124"/>
      <c r="CQ11" s="124"/>
      <c r="CR11" s="124"/>
      <c r="CS11" s="124"/>
      <c r="CT11" s="124"/>
      <c r="CU11" s="124"/>
      <c r="CV11" s="124"/>
      <c r="CW11" s="124"/>
      <c r="CX11" s="124"/>
      <c r="CY11" s="124"/>
      <c r="CZ11" s="124"/>
      <c r="DA11" s="124"/>
      <c r="DB11" s="124"/>
      <c r="DH11" s="124"/>
      <c r="DI11" s="124"/>
      <c r="ED11" s="131" t="s">
        <v>405</v>
      </c>
      <c r="EE11" s="133">
        <f>+AVERAGE(CB5:CB16)</f>
        <v>1.3215708241384702E-2</v>
      </c>
      <c r="EF11" s="133">
        <f>+AVERAGE(CB17:CB32)</f>
        <v>6.7765932956877148E-3</v>
      </c>
      <c r="EG11" s="133">
        <f>+AVERAGE(CB33:CB46)</f>
        <v>-1.0980124139191237E-2</v>
      </c>
      <c r="EH11" s="133">
        <f>+AVERAGE(CB47:CB57)</f>
        <v>-6.2633268088271932E-3</v>
      </c>
      <c r="EK11" s="178"/>
      <c r="EL11" s="184"/>
      <c r="EM11" s="184"/>
      <c r="EN11" s="184"/>
      <c r="EO11" s="184"/>
      <c r="EP11" s="117"/>
    </row>
    <row r="12" spans="1:146" s="119" customFormat="1">
      <c r="A12" s="117">
        <v>1969</v>
      </c>
      <c r="B12" s="145">
        <v>0.12844036697247696</v>
      </c>
      <c r="C12" s="145">
        <f>AVERAGE(B5:B25)</f>
        <v>0.28799570750836662</v>
      </c>
      <c r="D12" s="145"/>
      <c r="E12" s="145"/>
      <c r="F12" s="145"/>
      <c r="G12" s="145"/>
      <c r="H12" s="120">
        <v>755.61819572167894</v>
      </c>
      <c r="I12" s="120">
        <f t="shared" si="27"/>
        <v>117.19381338734527</v>
      </c>
      <c r="J12" s="280">
        <f t="shared" si="28"/>
        <v>1.994557631303806E-2</v>
      </c>
      <c r="K12" s="223">
        <f t="shared" si="38"/>
        <v>2.6266415544124334E-2</v>
      </c>
      <c r="L12" s="219"/>
      <c r="M12" s="219"/>
      <c r="N12" s="219"/>
      <c r="O12" s="120">
        <v>510.64356375103807</v>
      </c>
      <c r="P12" s="203">
        <f t="shared" si="29"/>
        <v>0.99912521024335688</v>
      </c>
      <c r="Q12" s="160">
        <f t="shared" si="30"/>
        <v>1.994557631303806E-2</v>
      </c>
      <c r="R12" s="160">
        <v>2.8856373138140379E-2</v>
      </c>
      <c r="S12" s="145">
        <f>AVERAGE(Q4:Q16)</f>
        <v>2.6266415544124334E-2</v>
      </c>
      <c r="T12" s="117">
        <v>85.545314363158553</v>
      </c>
      <c r="U12" s="117">
        <v>121.334</v>
      </c>
      <c r="V12" s="117"/>
      <c r="W12" s="119">
        <v>123.6</v>
      </c>
      <c r="X12" s="124">
        <f t="shared" si="31"/>
        <v>0</v>
      </c>
      <c r="Y12" s="119">
        <v>64603.847218767427</v>
      </c>
      <c r="Z12" s="117">
        <v>3483090.9017626471</v>
      </c>
      <c r="AA12" s="119">
        <v>0.25183700734802938</v>
      </c>
      <c r="AB12" s="119">
        <f t="shared" si="0"/>
        <v>481.79575066312998</v>
      </c>
      <c r="AC12" s="119">
        <f t="shared" si="1"/>
        <v>924566.0455225464</v>
      </c>
      <c r="AD12" s="119">
        <f t="shared" si="2"/>
        <v>0.26544413327101574</v>
      </c>
      <c r="AE12" s="119">
        <f t="shared" si="32"/>
        <v>2.2144238504933328E-2</v>
      </c>
      <c r="AF12" s="119">
        <f t="shared" si="3"/>
        <v>14996.8824</v>
      </c>
      <c r="AG12" s="145">
        <f t="shared" si="4"/>
        <v>0.23213605761304265</v>
      </c>
      <c r="AH12" s="119">
        <f t="shared" si="5"/>
        <v>0.23213605761304265</v>
      </c>
      <c r="AI12" s="120">
        <v>95.02278905259378</v>
      </c>
      <c r="AJ12" s="122">
        <f>+'Base_Budget Constraint'!T34/'Base_Budget Constraint'!$T$60</f>
        <v>1.083963901888898</v>
      </c>
      <c r="AK12" s="119">
        <v>-790.9</v>
      </c>
      <c r="AL12" s="119">
        <v>5.8099999999999999E-2</v>
      </c>
      <c r="AM12" s="119">
        <v>3.59</v>
      </c>
      <c r="AN12" s="58">
        <f t="shared" si="6"/>
        <v>0.44372400000000001</v>
      </c>
      <c r="AO12" s="58">
        <f t="shared" si="7"/>
        <v>0.50182400000000005</v>
      </c>
      <c r="AP12" s="121">
        <f t="shared" si="33"/>
        <v>-790.39817599999992</v>
      </c>
      <c r="AQ12" s="125">
        <f t="shared" si="21"/>
        <v>-1.223453726096964E-2</v>
      </c>
      <c r="AR12" s="119">
        <v>6.8879999999999999</v>
      </c>
      <c r="AS12" s="119">
        <f t="shared" si="8"/>
        <v>27.351023872679047</v>
      </c>
      <c r="AT12" s="124">
        <f t="shared" si="9"/>
        <v>1.5068976461426775E-2</v>
      </c>
      <c r="AU12" s="119">
        <f t="shared" si="10"/>
        <v>851.35679999999991</v>
      </c>
      <c r="AV12" s="58">
        <v>746</v>
      </c>
      <c r="AW12" s="126">
        <f t="shared" si="34"/>
        <v>1597.3568</v>
      </c>
      <c r="AX12" s="119">
        <v>2.0187290946269545E-2</v>
      </c>
      <c r="AY12" s="58">
        <f t="shared" si="35"/>
        <v>79126.852842787164</v>
      </c>
      <c r="AZ12" s="127">
        <f t="shared" si="22"/>
        <v>2.2717423999110781E-2</v>
      </c>
      <c r="BA12" s="58">
        <f t="shared" si="11"/>
        <v>2.0187290946269547</v>
      </c>
      <c r="BB12" s="58"/>
      <c r="BC12" s="119">
        <f t="shared" si="12"/>
        <v>1642.2567999999997</v>
      </c>
      <c r="BD12" s="58"/>
      <c r="BE12" s="119">
        <v>21.9</v>
      </c>
      <c r="BF12" s="119">
        <v>-636.9</v>
      </c>
      <c r="BG12" s="122">
        <v>6710.7999999999993</v>
      </c>
      <c r="BH12" s="119">
        <f t="shared" si="13"/>
        <v>0.10387616665111719</v>
      </c>
      <c r="BI12" s="119">
        <f t="shared" si="36"/>
        <v>-3.8711649803380571E-3</v>
      </c>
      <c r="BJ12" s="119">
        <v>10.363</v>
      </c>
      <c r="BK12" s="124"/>
      <c r="BL12" s="119">
        <v>3713</v>
      </c>
      <c r="BM12" s="119">
        <f t="shared" si="23"/>
        <v>1.0470115140831624</v>
      </c>
      <c r="BN12" s="119">
        <f t="shared" si="14"/>
        <v>1.0226039783001808</v>
      </c>
      <c r="BO12" s="119">
        <v>1.0589529590266882</v>
      </c>
      <c r="BP12" s="119">
        <f t="shared" si="15"/>
        <v>7.6404901472605048E-3</v>
      </c>
      <c r="BQ12" s="119">
        <f t="shared" si="16"/>
        <v>3.5488815995516509E-2</v>
      </c>
      <c r="BR12" s="119">
        <f t="shared" si="24"/>
        <v>3.211135244106933E-2</v>
      </c>
      <c r="BS12" s="119">
        <f t="shared" si="17"/>
        <v>-466.32463750897665</v>
      </c>
      <c r="BT12" s="124">
        <f t="shared" si="18"/>
        <v>-1.2752113847832985E-2</v>
      </c>
      <c r="BU12" s="58">
        <v>2732.3</v>
      </c>
      <c r="BV12" s="58">
        <v>2730.9</v>
      </c>
      <c r="BW12" s="58">
        <v>5453.4</v>
      </c>
      <c r="BX12" s="124">
        <f t="shared" si="19"/>
        <v>4.2293146888723786E-2</v>
      </c>
      <c r="BY12" s="124">
        <f t="shared" si="20"/>
        <v>4.2271476352675683E-2</v>
      </c>
      <c r="BZ12" s="124">
        <f t="shared" si="25"/>
        <v>8.4412929489062788E-2</v>
      </c>
      <c r="CB12" s="145">
        <v>2.2144238504933328E-2</v>
      </c>
      <c r="CC12" s="145">
        <v>-3.8711649803380571E-3</v>
      </c>
      <c r="CD12" s="145">
        <v>4.5587874943887382E-3</v>
      </c>
      <c r="CE12" s="124">
        <v>-1.131295145071377E-2</v>
      </c>
      <c r="CF12" s="146">
        <v>1.223453726096964E-2</v>
      </c>
      <c r="CG12" s="124">
        <f t="shared" si="26"/>
        <v>6.841298747301364E-3</v>
      </c>
      <c r="CH12" s="146">
        <v>-2.7051397655546428E-3</v>
      </c>
      <c r="CI12" s="124">
        <v>1.5068976461426775E-2</v>
      </c>
      <c r="CJ12" s="117">
        <v>1.0470115140831624</v>
      </c>
      <c r="CK12" s="145">
        <f t="shared" si="37"/>
        <v>4.7011514083162398E-2</v>
      </c>
      <c r="CL12" s="120">
        <v>-37.97</v>
      </c>
      <c r="CM12" s="120">
        <v>36.230000000000004</v>
      </c>
      <c r="CN12" s="120">
        <v>8.91</v>
      </c>
      <c r="CO12" s="124"/>
      <c r="CP12" s="124"/>
      <c r="CQ12" s="124"/>
      <c r="CR12" s="124"/>
      <c r="CS12" s="124"/>
      <c r="CT12" s="124"/>
      <c r="CU12" s="124"/>
      <c r="CV12" s="124"/>
      <c r="CW12" s="124"/>
      <c r="CX12" s="124"/>
      <c r="CY12" s="124"/>
      <c r="CZ12" s="124"/>
      <c r="DA12" s="124"/>
      <c r="DB12" s="124"/>
      <c r="DH12" s="124"/>
      <c r="DI12" s="124"/>
      <c r="ED12" s="131" t="s">
        <v>404</v>
      </c>
      <c r="EE12" s="133">
        <f>+AVERAGE(CC5:CC16)</f>
        <v>4.5122344911136788E-3</v>
      </c>
      <c r="EF12" s="133">
        <f>+AVERAGE(CC17:CC32)</f>
        <v>-2.3358038647703448E-3</v>
      </c>
      <c r="EG12" s="133">
        <f>+AVERAGE(CC33:CC46)</f>
        <v>-7.8441294219388656E-4</v>
      </c>
      <c r="EH12" s="133">
        <f>+AVERAGE(CC47:CC57)</f>
        <v>2.1896503070858138E-3</v>
      </c>
      <c r="EK12" s="178" t="s">
        <v>269</v>
      </c>
      <c r="EL12" s="184">
        <v>-8.8424548478875896E-3</v>
      </c>
      <c r="EM12" s="184">
        <v>-1.2499652175983436E-2</v>
      </c>
      <c r="EN12" s="184">
        <v>-1.2510485887190562E-2</v>
      </c>
      <c r="EO12" s="184">
        <v>-8.8211162917209048E-3</v>
      </c>
      <c r="EP12" s="117"/>
    </row>
    <row r="13" spans="1:146" s="119" customFormat="1">
      <c r="A13" s="117">
        <v>1970</v>
      </c>
      <c r="B13" s="145">
        <v>0.29674796747967469</v>
      </c>
      <c r="C13" s="145">
        <f>AVERAGE(B5:B25)</f>
        <v>0.28799570750836662</v>
      </c>
      <c r="D13" s="145"/>
      <c r="E13" s="145"/>
      <c r="F13" s="145"/>
      <c r="G13" s="145"/>
      <c r="H13" s="120">
        <v>777.42259632739217</v>
      </c>
      <c r="I13" s="120">
        <f t="shared" si="27"/>
        <v>120.5756017959321</v>
      </c>
      <c r="J13" s="280">
        <f t="shared" si="28"/>
        <v>2.8856373138140379E-2</v>
      </c>
      <c r="K13" s="223">
        <f t="shared" si="38"/>
        <v>2.6266415544124334E-2</v>
      </c>
      <c r="L13" s="219"/>
      <c r="M13" s="219"/>
      <c r="N13" s="219"/>
      <c r="O13" s="120">
        <v>514.65421400013565</v>
      </c>
      <c r="P13" s="203">
        <f t="shared" si="29"/>
        <v>1.0078541090768609</v>
      </c>
      <c r="Q13" s="160">
        <f t="shared" si="30"/>
        <v>2.8856373138140379E-2</v>
      </c>
      <c r="R13" s="160">
        <v>2.9670830591753017E-2</v>
      </c>
      <c r="S13" s="145">
        <f>AVERAGE(Q4:Q16)</f>
        <v>2.6266415544124334E-2</v>
      </c>
      <c r="T13" s="117">
        <v>86.217196593181157</v>
      </c>
      <c r="U13" s="117">
        <v>146.977</v>
      </c>
      <c r="V13" s="117"/>
      <c r="W13" s="119">
        <v>123.6</v>
      </c>
      <c r="X13" s="124">
        <f t="shared" si="31"/>
        <v>0</v>
      </c>
      <c r="Y13" s="119">
        <v>69143.520389176221</v>
      </c>
      <c r="Z13" s="117">
        <v>3676521.768305101</v>
      </c>
      <c r="AA13" s="119">
        <v>0.26586506346025385</v>
      </c>
      <c r="AB13" s="119">
        <f t="shared" si="0"/>
        <v>552.82555025125623</v>
      </c>
      <c r="AC13" s="119">
        <f t="shared" si="1"/>
        <v>1060872.2309321607</v>
      </c>
      <c r="AD13" s="119">
        <f t="shared" si="2"/>
        <v>0.28855322987009796</v>
      </c>
      <c r="AE13" s="119">
        <f t="shared" si="32"/>
        <v>2.3109096599082224E-2</v>
      </c>
      <c r="AF13" s="119">
        <f t="shared" si="3"/>
        <v>18166.357199999999</v>
      </c>
      <c r="AG13" s="145">
        <f t="shared" si="4"/>
        <v>0.26273405082284146</v>
      </c>
      <c r="AH13" s="119">
        <f t="shared" si="5"/>
        <v>0.26273405082284146</v>
      </c>
      <c r="AI13" s="120">
        <v>96.336026061317554</v>
      </c>
      <c r="AJ13" s="122">
        <f>+'Base_Budget Constraint'!T35/'Base_Budget Constraint'!$T$60</f>
        <v>1.0967317984700844</v>
      </c>
      <c r="AK13" s="119">
        <v>-454</v>
      </c>
      <c r="AL13" s="119">
        <v>5.7000000000000002E-2</v>
      </c>
      <c r="AM13" s="119">
        <v>4.306</v>
      </c>
      <c r="AN13" s="58">
        <f t="shared" si="6"/>
        <v>0.53222159999999996</v>
      </c>
      <c r="AO13" s="58">
        <f t="shared" si="7"/>
        <v>0.58922160000000001</v>
      </c>
      <c r="AP13" s="121">
        <f t="shared" si="33"/>
        <v>-453.41077840000003</v>
      </c>
      <c r="AQ13" s="125">
        <f t="shared" si="21"/>
        <v>-6.5575309999832939E-3</v>
      </c>
      <c r="AR13" s="119">
        <v>7.7350000000000003</v>
      </c>
      <c r="AS13" s="119">
        <f t="shared" si="8"/>
        <v>29.093706030150756</v>
      </c>
      <c r="AT13" s="124">
        <f t="shared" si="9"/>
        <v>1.5185772148330744E-2</v>
      </c>
      <c r="AU13" s="119">
        <f t="shared" si="10"/>
        <v>956.04600000000005</v>
      </c>
      <c r="AV13" s="58">
        <v>599</v>
      </c>
      <c r="AW13" s="126">
        <f t="shared" si="34"/>
        <v>1555.046</v>
      </c>
      <c r="AX13" s="119">
        <v>2.0013769871538922E-2</v>
      </c>
      <c r="AY13" s="58">
        <f t="shared" si="35"/>
        <v>77698.804871909306</v>
      </c>
      <c r="AZ13" s="127">
        <f t="shared" si="22"/>
        <v>2.1133780722241972E-2</v>
      </c>
      <c r="BA13" s="58">
        <f t="shared" si="11"/>
        <v>2.001376987153892</v>
      </c>
      <c r="BB13" s="58"/>
      <c r="BC13" s="119">
        <f t="shared" si="12"/>
        <v>1410.046</v>
      </c>
      <c r="BD13" s="58"/>
      <c r="BE13" s="119">
        <v>-82</v>
      </c>
      <c r="BF13" s="119">
        <v>-136</v>
      </c>
      <c r="BG13" s="122">
        <v>8207</v>
      </c>
      <c r="BH13" s="119">
        <f t="shared" si="13"/>
        <v>0.11869514241980554</v>
      </c>
      <c r="BI13" s="119">
        <f t="shared" si="36"/>
        <v>1.4818975768688347E-2</v>
      </c>
      <c r="BJ13" s="119">
        <v>18.309999999999999</v>
      </c>
      <c r="BK13" s="124"/>
      <c r="BL13" s="119">
        <v>4320</v>
      </c>
      <c r="BM13" s="119">
        <f t="shared" si="23"/>
        <v>1.0555342573587634</v>
      </c>
      <c r="BN13" s="119">
        <f t="shared" si="14"/>
        <v>1.0627763041556146</v>
      </c>
      <c r="BO13" s="119">
        <v>1.0425592892442999</v>
      </c>
      <c r="BP13" s="119">
        <f t="shared" si="15"/>
        <v>1.2871769898893996E-2</v>
      </c>
      <c r="BQ13" s="119">
        <f t="shared" si="16"/>
        <v>3.8393762289337788E-2</v>
      </c>
      <c r="BR13" s="119">
        <f t="shared" si="24"/>
        <v>3.2253827807616847E-2</v>
      </c>
      <c r="BS13" s="119">
        <f t="shared" si="17"/>
        <v>-534.99481014580113</v>
      </c>
      <c r="BT13" s="124">
        <f t="shared" si="18"/>
        <v>-1.3605556698227777E-2</v>
      </c>
      <c r="BU13" s="58">
        <v>2670.4</v>
      </c>
      <c r="BV13" s="58">
        <v>2546.8000000000002</v>
      </c>
      <c r="BW13" s="58">
        <v>5380</v>
      </c>
      <c r="BX13" s="124">
        <f t="shared" si="19"/>
        <v>3.8621117133891644E-2</v>
      </c>
      <c r="BY13" s="124">
        <f t="shared" si="20"/>
        <v>3.6833530975357714E-2</v>
      </c>
      <c r="BZ13" s="124">
        <f t="shared" si="25"/>
        <v>7.7809170978256834E-2</v>
      </c>
      <c r="CB13" s="145">
        <v>2.3109096599082224E-2</v>
      </c>
      <c r="CC13" s="145">
        <v>1.4818975768688347E-2</v>
      </c>
      <c r="CD13" s="145">
        <v>7.6404901472605048E-3</v>
      </c>
      <c r="CE13" s="124">
        <v>-1.2752113847832985E-2</v>
      </c>
      <c r="CF13" s="146">
        <v>6.5575309999832939E-3</v>
      </c>
      <c r="CG13" s="124">
        <f t="shared" si="26"/>
        <v>3.657737321455002E-2</v>
      </c>
      <c r="CH13" s="146">
        <v>2.2603978300180794E-2</v>
      </c>
      <c r="CI13" s="124">
        <v>1.5185772148330744E-2</v>
      </c>
      <c r="CJ13" s="117">
        <v>1.0555342573587634</v>
      </c>
      <c r="CK13" s="145">
        <f t="shared" si="37"/>
        <v>5.5534257358763384E-2</v>
      </c>
      <c r="CL13" s="120">
        <v>-21.57</v>
      </c>
      <c r="CM13" s="120">
        <v>24.559000000000001</v>
      </c>
      <c r="CN13" s="120">
        <v>17.296999999999997</v>
      </c>
      <c r="CO13" s="124"/>
      <c r="CP13" s="124"/>
      <c r="CQ13" s="124"/>
      <c r="CR13" s="124"/>
      <c r="CS13" s="124"/>
      <c r="CT13" s="124"/>
      <c r="CU13" s="124"/>
      <c r="CV13" s="124"/>
      <c r="CW13" s="124"/>
      <c r="CX13" s="124"/>
      <c r="CY13" s="124"/>
      <c r="CZ13" s="124"/>
      <c r="DA13" s="124"/>
      <c r="DB13" s="124"/>
      <c r="DH13" s="124"/>
      <c r="DI13" s="124"/>
      <c r="ED13" s="131" t="s">
        <v>401</v>
      </c>
      <c r="EE13" s="133">
        <f>+AVERAGE(CD5:CD16)</f>
        <v>9.109908517944125E-3</v>
      </c>
      <c r="EF13" s="133">
        <f>+AVERAGE(CD17:CD32)</f>
        <v>2.5192620409144842E-2</v>
      </c>
      <c r="EG13" s="133">
        <f>+AVERAGE(CD33:CD46)</f>
        <v>1.1304266797062146E-2</v>
      </c>
      <c r="EH13" s="133">
        <f>+AVERAGE(CD47:CD57)</f>
        <v>9.7582820464023889E-3</v>
      </c>
      <c r="EK13" s="178" t="s">
        <v>402</v>
      </c>
      <c r="EL13" s="184">
        <v>1.6939823321457336E-2</v>
      </c>
      <c r="EM13" s="184">
        <v>1.8412044492443977E-2</v>
      </c>
      <c r="EN13" s="184">
        <v>-6.4813633409151541E-3</v>
      </c>
      <c r="EO13" s="184">
        <v>-7.1138497045627157E-3</v>
      </c>
      <c r="EP13" s="117"/>
    </row>
    <row r="14" spans="1:146" s="119" customFormat="1">
      <c r="A14" s="117">
        <v>1971</v>
      </c>
      <c r="B14" s="145">
        <v>0.46081504702194365</v>
      </c>
      <c r="C14" s="145">
        <f>AVERAGE(B5:B25)</f>
        <v>0.28799570750836662</v>
      </c>
      <c r="D14" s="145"/>
      <c r="E14" s="145"/>
      <c r="F14" s="145"/>
      <c r="G14" s="145"/>
      <c r="H14" s="120">
        <v>800.48937048122309</v>
      </c>
      <c r="I14" s="120">
        <f t="shared" si="27"/>
        <v>124.15318005031789</v>
      </c>
      <c r="J14" s="280">
        <f t="shared" si="28"/>
        <v>2.9670830591753017E-2</v>
      </c>
      <c r="K14" s="223">
        <f t="shared" si="38"/>
        <v>2.6266415544124334E-2</v>
      </c>
      <c r="L14" s="219"/>
      <c r="M14" s="219"/>
      <c r="N14" s="219"/>
      <c r="O14" s="120">
        <v>519.10697181126784</v>
      </c>
      <c r="P14" s="203">
        <f t="shared" si="29"/>
        <v>1.0086519408371755</v>
      </c>
      <c r="Q14" s="160">
        <f t="shared" si="30"/>
        <v>2.9670830591753017E-2</v>
      </c>
      <c r="R14" s="160">
        <v>4.1113963823916633E-2</v>
      </c>
      <c r="S14" s="145">
        <f>AVERAGE(Q4:Q16)</f>
        <v>2.6266415544124334E-2</v>
      </c>
      <c r="T14" s="117">
        <v>86.963142677252478</v>
      </c>
      <c r="U14" s="117">
        <v>165.71299999999999</v>
      </c>
      <c r="V14" s="117"/>
      <c r="W14" s="119">
        <v>123.6</v>
      </c>
      <c r="X14" s="124">
        <f t="shared" si="31"/>
        <v>0</v>
      </c>
      <c r="Y14" s="119">
        <v>76739.957949324438</v>
      </c>
      <c r="Z14" s="117">
        <v>3880133.1298964876</v>
      </c>
      <c r="AA14" s="119">
        <v>0.27454909819639278</v>
      </c>
      <c r="AB14" s="119">
        <f t="shared" si="0"/>
        <v>603.58238686131381</v>
      </c>
      <c r="AC14" s="119">
        <f t="shared" si="1"/>
        <v>1158274.6003868612</v>
      </c>
      <c r="AD14" s="119">
        <f t="shared" si="2"/>
        <v>0.29851413897691731</v>
      </c>
      <c r="AE14" s="119">
        <f t="shared" si="32"/>
        <v>9.9609091068193489E-3</v>
      </c>
      <c r="AF14" s="119">
        <f t="shared" si="3"/>
        <v>20482.126799999998</v>
      </c>
      <c r="AG14" s="145">
        <f t="shared" si="4"/>
        <v>0.26690302350081374</v>
      </c>
      <c r="AH14" s="119">
        <f t="shared" si="5"/>
        <v>0.26690302350081374</v>
      </c>
      <c r="AI14" s="120">
        <v>100.53816672416411</v>
      </c>
      <c r="AJ14" s="122">
        <f>+'Base_Budget Constraint'!T36/'Base_Budget Constraint'!$T$60</f>
        <v>1.0630089118423114</v>
      </c>
      <c r="AK14" s="119">
        <v>-1290</v>
      </c>
      <c r="AL14" s="119">
        <v>5.8999999999999997E-2</v>
      </c>
      <c r="AM14" s="119">
        <v>5.6429999999999998</v>
      </c>
      <c r="AN14" s="58">
        <f t="shared" si="6"/>
        <v>0.69747479999999995</v>
      </c>
      <c r="AO14" s="58">
        <f t="shared" si="7"/>
        <v>0.75647479999999989</v>
      </c>
      <c r="AP14" s="121">
        <f t="shared" si="33"/>
        <v>-1289.2435252</v>
      </c>
      <c r="AQ14" s="125">
        <f t="shared" si="21"/>
        <v>-1.6800159390905029E-2</v>
      </c>
      <c r="AR14" s="119">
        <v>7.8250000000000002</v>
      </c>
      <c r="AS14" s="119">
        <f t="shared" si="8"/>
        <v>28.501277372262773</v>
      </c>
      <c r="AT14" s="124">
        <f t="shared" si="9"/>
        <v>1.409589553924181E-2</v>
      </c>
      <c r="AU14" s="119">
        <f t="shared" si="10"/>
        <v>967.17</v>
      </c>
      <c r="AV14" s="58">
        <v>761</v>
      </c>
      <c r="AW14" s="126">
        <f t="shared" si="34"/>
        <v>1728.17</v>
      </c>
      <c r="AX14" s="119">
        <v>2.1005103315869526E-2</v>
      </c>
      <c r="AY14" s="58">
        <f t="shared" si="35"/>
        <v>82273.815749068643</v>
      </c>
      <c r="AZ14" s="127">
        <f t="shared" si="22"/>
        <v>2.12038641445438E-2</v>
      </c>
      <c r="BA14" s="58">
        <f t="shared" si="11"/>
        <v>2.1005103315869524</v>
      </c>
      <c r="BB14" s="58"/>
      <c r="BC14" s="119">
        <f t="shared" si="12"/>
        <v>2257.17</v>
      </c>
      <c r="BD14" s="58"/>
      <c r="BE14" s="119">
        <v>-429</v>
      </c>
      <c r="BF14" s="119">
        <v>-815</v>
      </c>
      <c r="BG14" s="122">
        <v>9139</v>
      </c>
      <c r="BH14" s="119">
        <f t="shared" si="13"/>
        <v>0.11909050049304142</v>
      </c>
      <c r="BI14" s="119">
        <f t="shared" si="36"/>
        <v>3.9535807323587413E-4</v>
      </c>
      <c r="BJ14" s="119">
        <v>21.210999999999999</v>
      </c>
      <c r="BK14" s="124"/>
      <c r="BL14" s="119">
        <v>4796</v>
      </c>
      <c r="BM14" s="119">
        <f t="shared" si="23"/>
        <v>1.0553815193878895</v>
      </c>
      <c r="BN14" s="119">
        <f t="shared" si="14"/>
        <v>1.0948419301164725</v>
      </c>
      <c r="BO14" s="119">
        <v>1.0330561473460658</v>
      </c>
      <c r="BP14" s="119">
        <f t="shared" si="15"/>
        <v>1.7080909762012476E-2</v>
      </c>
      <c r="BQ14" s="119">
        <f t="shared" si="16"/>
        <v>4.2350328580135536E-2</v>
      </c>
      <c r="BR14" s="119">
        <f t="shared" si="24"/>
        <v>3.4853953834366944E-2</v>
      </c>
      <c r="BS14" s="119">
        <f t="shared" si="17"/>
        <v>-582.54515421441261</v>
      </c>
      <c r="BT14" s="124">
        <f t="shared" si="18"/>
        <v>-1.3120645441348852E-2</v>
      </c>
      <c r="BU14" s="58">
        <v>3175</v>
      </c>
      <c r="BV14" s="58">
        <v>2598</v>
      </c>
      <c r="BW14" s="58">
        <v>5754</v>
      </c>
      <c r="BX14" s="124">
        <f t="shared" si="19"/>
        <v>4.1373491527016797E-2</v>
      </c>
      <c r="BY14" s="124">
        <f t="shared" si="20"/>
        <v>3.3854592436910122E-2</v>
      </c>
      <c r="BZ14" s="124">
        <f t="shared" si="25"/>
        <v>7.4980494565812489E-2</v>
      </c>
      <c r="CB14" s="145">
        <v>9.9609091068193489E-3</v>
      </c>
      <c r="CC14" s="145">
        <v>3.9535807323587413E-4</v>
      </c>
      <c r="CD14" s="145">
        <v>1.2871769898893996E-2</v>
      </c>
      <c r="CE14" s="124">
        <v>-1.3605556698227777E-2</v>
      </c>
      <c r="CF14" s="146">
        <v>1.6800159390905029E-2</v>
      </c>
      <c r="CG14" s="124">
        <f t="shared" si="26"/>
        <v>5.9375388470301587E-3</v>
      </c>
      <c r="CH14" s="146">
        <v>6.2776304155614637E-2</v>
      </c>
      <c r="CI14" s="124">
        <v>1.409589553924181E-2</v>
      </c>
      <c r="CJ14" s="117">
        <v>1.0553815193878895</v>
      </c>
      <c r="CK14" s="145">
        <f t="shared" si="37"/>
        <v>5.5381519387889488E-2</v>
      </c>
      <c r="CL14" s="120">
        <v>-30.065000000000001</v>
      </c>
      <c r="CM14" s="120">
        <v>29.570999999999998</v>
      </c>
      <c r="CN14" s="120">
        <v>20.247</v>
      </c>
      <c r="CO14" s="124"/>
      <c r="CP14" s="124"/>
      <c r="CQ14" s="124"/>
      <c r="CR14" s="124"/>
      <c r="CS14" s="124"/>
      <c r="CT14" s="124"/>
      <c r="CU14" s="124"/>
      <c r="CV14" s="124"/>
      <c r="CW14" s="124"/>
      <c r="CX14" s="124"/>
      <c r="CY14" s="124"/>
      <c r="CZ14" s="124"/>
      <c r="DA14" s="124"/>
      <c r="DB14" s="124"/>
      <c r="DH14" s="124"/>
      <c r="DI14" s="124"/>
      <c r="ED14" s="131"/>
      <c r="EE14" s="133"/>
      <c r="EF14" s="133"/>
      <c r="EG14" s="133"/>
      <c r="EH14" s="133"/>
      <c r="EK14" s="178" t="s">
        <v>292</v>
      </c>
      <c r="EL14" s="184">
        <v>1.4504992223754247E-2</v>
      </c>
      <c r="EM14" s="184">
        <v>1.9252438245653123E-2</v>
      </c>
      <c r="EN14" s="184">
        <v>1.8385680651652747E-2</v>
      </c>
      <c r="EO14" s="184">
        <v>1.4628456098353065E-2</v>
      </c>
      <c r="EP14" s="117"/>
    </row>
    <row r="15" spans="1:146" s="195" customFormat="1" ht="15" thickBot="1">
      <c r="A15" s="117">
        <v>1972</v>
      </c>
      <c r="B15" s="145">
        <v>0.22746781115879822</v>
      </c>
      <c r="C15" s="145">
        <f>AVERAGE(B5:B25)</f>
        <v>0.28799570750836662</v>
      </c>
      <c r="D15" s="145"/>
      <c r="E15" s="145"/>
      <c r="F15" s="145"/>
      <c r="G15" s="145"/>
      <c r="H15" s="120">
        <v>833.40066150061784</v>
      </c>
      <c r="I15" s="120">
        <f t="shared" si="27"/>
        <v>129.25760940353086</v>
      </c>
      <c r="J15" s="280">
        <f t="shared" si="28"/>
        <v>4.1113963823916633E-2</v>
      </c>
      <c r="K15" s="223">
        <f t="shared" si="38"/>
        <v>2.6266415544124334E-2</v>
      </c>
      <c r="L15" s="219"/>
      <c r="M15" s="219"/>
      <c r="N15" s="219"/>
      <c r="O15" s="120">
        <v>529.41720608415562</v>
      </c>
      <c r="P15" s="203">
        <f t="shared" si="29"/>
        <v>1.019861482955841</v>
      </c>
      <c r="Q15" s="160">
        <f t="shared" si="30"/>
        <v>4.1113963823916633E-2</v>
      </c>
      <c r="R15" s="160">
        <v>4.785540041674885E-2</v>
      </c>
      <c r="S15" s="145">
        <f>AVERAGE(Q4:Q16)</f>
        <v>2.6266415544124334E-2</v>
      </c>
      <c r="T15" s="117">
        <v>88.6903596533231</v>
      </c>
      <c r="U15" s="117">
        <v>181.43600000000001</v>
      </c>
      <c r="V15" s="117"/>
      <c r="W15" s="119">
        <v>123.6</v>
      </c>
      <c r="X15" s="124">
        <f t="shared" si="31"/>
        <v>0</v>
      </c>
      <c r="Y15" s="119">
        <v>87858.757669864892</v>
      </c>
      <c r="Z15" s="117">
        <v>4137436.3002019459</v>
      </c>
      <c r="AA15" s="119">
        <v>0.28390113560454244</v>
      </c>
      <c r="AB15" s="119">
        <f t="shared" si="0"/>
        <v>639.08162823529403</v>
      </c>
      <c r="AC15" s="119">
        <f t="shared" si="1"/>
        <v>1226397.6445835293</v>
      </c>
      <c r="AD15" s="119">
        <f t="shared" si="2"/>
        <v>0.29641487036880049</v>
      </c>
      <c r="AE15" s="119">
        <f t="shared" si="32"/>
        <v>-2.0992686081168221E-3</v>
      </c>
      <c r="AF15" s="119">
        <f t="shared" si="3"/>
        <v>22425.489600000001</v>
      </c>
      <c r="AG15" s="145">
        <f t="shared" si="4"/>
        <v>0.25524478372736914</v>
      </c>
      <c r="AH15" s="119">
        <f t="shared" si="5"/>
        <v>0.25524478372736914</v>
      </c>
      <c r="AI15" s="120">
        <v>98.676417591960444</v>
      </c>
      <c r="AJ15" s="122">
        <f>+'Base_Budget Constraint'!T37/'Base_Budget Constraint'!$T$60</f>
        <v>1.0010911391304036</v>
      </c>
      <c r="AK15" s="119">
        <v>-2351</v>
      </c>
      <c r="AL15" s="119">
        <v>7.0000000000000007E-2</v>
      </c>
      <c r="AM15" s="119">
        <v>7.0179999999999998</v>
      </c>
      <c r="AN15" s="58">
        <f t="shared" si="6"/>
        <v>0.86742479999999988</v>
      </c>
      <c r="AO15" s="58">
        <f t="shared" si="7"/>
        <v>0.93742479999999984</v>
      </c>
      <c r="AP15" s="121">
        <f t="shared" si="33"/>
        <v>-2350.0625752000001</v>
      </c>
      <c r="AQ15" s="125">
        <f t="shared" si="21"/>
        <v>-2.6748188086502613E-2</v>
      </c>
      <c r="AR15" s="119">
        <v>10.464</v>
      </c>
      <c r="AS15" s="119">
        <f t="shared" si="8"/>
        <v>36.857901176470584</v>
      </c>
      <c r="AT15" s="124">
        <f t="shared" si="9"/>
        <v>1.7095202735615468E-2</v>
      </c>
      <c r="AU15" s="119">
        <f t="shared" si="10"/>
        <v>1293.3504</v>
      </c>
      <c r="AV15" s="58">
        <v>988</v>
      </c>
      <c r="AW15" s="126">
        <f t="shared" si="34"/>
        <v>2281.3504000000003</v>
      </c>
      <c r="AX15" s="119">
        <v>2.2933450563745482E-2</v>
      </c>
      <c r="AY15" s="58">
        <f t="shared" si="35"/>
        <v>99476.97986654003</v>
      </c>
      <c r="AZ15" s="127">
        <f t="shared" si="22"/>
        <v>2.4043144751662911E-2</v>
      </c>
      <c r="BA15" s="58">
        <f t="shared" si="11"/>
        <v>2.2933450563745481</v>
      </c>
      <c r="BB15" s="58"/>
      <c r="BC15" s="119">
        <f t="shared" si="12"/>
        <v>3644.3503999999998</v>
      </c>
      <c r="BD15" s="58"/>
      <c r="BE15" s="119">
        <v>-968</v>
      </c>
      <c r="BF15" s="119">
        <v>-1410</v>
      </c>
      <c r="BG15" s="122">
        <v>11536</v>
      </c>
      <c r="BH15" s="119">
        <f t="shared" si="13"/>
        <v>0.13130165171862873</v>
      </c>
      <c r="BI15" s="119">
        <f t="shared" si="36"/>
        <v>1.2211151225587316E-2</v>
      </c>
      <c r="BJ15" s="119">
        <v>31.523</v>
      </c>
      <c r="BK15" s="124"/>
      <c r="BL15" s="119">
        <v>5593</v>
      </c>
      <c r="BM15" s="119">
        <f t="shared" si="23"/>
        <v>1.0663129747592766</v>
      </c>
      <c r="BN15" s="119">
        <f t="shared" si="14"/>
        <v>1.141337386018237</v>
      </c>
      <c r="BO15" s="119">
        <v>1.0622006386371097</v>
      </c>
      <c r="BP15" s="119">
        <f t="shared" si="15"/>
        <v>2.4089246542964109E-2</v>
      </c>
      <c r="BQ15" s="119">
        <f t="shared" si="16"/>
        <v>3.8007892590224648E-2</v>
      </c>
      <c r="BR15" s="119">
        <f t="shared" si="24"/>
        <v>3.7156869658251268E-2</v>
      </c>
      <c r="BS15" s="119">
        <f t="shared" si="17"/>
        <v>-615.33535547397219</v>
      </c>
      <c r="BT15" s="124">
        <f t="shared" si="18"/>
        <v>-1.2495112828940561E-2</v>
      </c>
      <c r="BU15" s="58">
        <v>4209.1000000000004</v>
      </c>
      <c r="BV15" s="58">
        <v>2892.2</v>
      </c>
      <c r="BW15" s="58">
        <v>7061.1</v>
      </c>
      <c r="BX15" s="124">
        <f t="shared" si="19"/>
        <v>4.7907574744181711E-2</v>
      </c>
      <c r="BY15" s="124">
        <f t="shared" si="20"/>
        <v>3.2918744547557034E-2</v>
      </c>
      <c r="BZ15" s="124">
        <f t="shared" si="25"/>
        <v>8.0368766725937013E-2</v>
      </c>
      <c r="CA15" s="119"/>
      <c r="CB15" s="145">
        <v>-2.0992686081168221E-3</v>
      </c>
      <c r="CC15" s="145">
        <v>1.2211151225587316E-2</v>
      </c>
      <c r="CD15" s="145">
        <v>1.7080909762012476E-2</v>
      </c>
      <c r="CE15" s="124">
        <v>-1.3120645441348852E-2</v>
      </c>
      <c r="CF15" s="146">
        <v>2.6748188086502613E-2</v>
      </c>
      <c r="CG15" s="124">
        <f t="shared" si="26"/>
        <v>-3.5299530012862599E-3</v>
      </c>
      <c r="CH15" s="146">
        <v>9.4841930116472462E-2</v>
      </c>
      <c r="CI15" s="124">
        <v>1.7095202735615468E-2</v>
      </c>
      <c r="CJ15" s="117">
        <v>1.0663129747592766</v>
      </c>
      <c r="CK15" s="145">
        <f t="shared" si="37"/>
        <v>6.6312974759276555E-2</v>
      </c>
      <c r="CL15" s="120">
        <v>-11.836</v>
      </c>
      <c r="CM15" s="120">
        <v>16.603000000000002</v>
      </c>
      <c r="CN15" s="120">
        <v>30.631999999999998</v>
      </c>
      <c r="CO15" s="124"/>
      <c r="CP15" s="124"/>
      <c r="CQ15" s="124"/>
      <c r="CR15" s="124"/>
      <c r="CS15" s="124"/>
      <c r="CT15" s="124"/>
      <c r="CU15" s="124"/>
      <c r="CV15" s="124"/>
      <c r="CW15" s="124"/>
      <c r="CX15" s="124"/>
      <c r="CY15" s="124"/>
      <c r="CZ15" s="124"/>
      <c r="DA15" s="124"/>
      <c r="DB15" s="124"/>
      <c r="DC15" s="119"/>
      <c r="DH15" s="196"/>
      <c r="DI15" s="196"/>
      <c r="ED15" s="198" t="s">
        <v>269</v>
      </c>
      <c r="EE15" s="199">
        <f>+AVERAGE(CE5:CE16)</f>
        <v>-8.8424548478875896E-3</v>
      </c>
      <c r="EF15" s="199">
        <f>+AVERAGE(CE17:CE32)</f>
        <v>-1.2499652175983436E-2</v>
      </c>
      <c r="EG15" s="199">
        <f>+AVERAGE(CE33:CE46)</f>
        <v>-1.2510485887190562E-2</v>
      </c>
      <c r="EH15" s="199">
        <f>+AVERAGE(CE47:CE57)</f>
        <v>-8.8211162917209048E-3</v>
      </c>
      <c r="EK15" s="200" t="s">
        <v>403</v>
      </c>
      <c r="EL15" s="192">
        <v>4.2354905531185134E-3</v>
      </c>
      <c r="EM15" s="192">
        <v>4.4685792779485378E-3</v>
      </c>
      <c r="EN15" s="192">
        <v>1.4589829212998385E-4</v>
      </c>
      <c r="EO15" s="192">
        <v>4.9148988958025962E-3</v>
      </c>
      <c r="EP15" s="193"/>
    </row>
    <row r="16" spans="1:146" s="119" customFormat="1" ht="15" thickBot="1">
      <c r="A16" s="193">
        <v>1973</v>
      </c>
      <c r="B16" s="145">
        <v>0.79370629370629375</v>
      </c>
      <c r="C16" s="145">
        <f>AVERAGE(B5:B25)</f>
        <v>0.28799570750836662</v>
      </c>
      <c r="D16" s="145"/>
      <c r="E16" s="145"/>
      <c r="F16" s="145"/>
      <c r="G16" s="145"/>
      <c r="H16" s="120">
        <v>873.28338386431324</v>
      </c>
      <c r="I16" s="120">
        <f t="shared" si="27"/>
        <v>135.44328405844854</v>
      </c>
      <c r="J16" s="280">
        <f t="shared" si="28"/>
        <v>4.785540041674885E-2</v>
      </c>
      <c r="K16" s="223">
        <f t="shared" si="38"/>
        <v>2.6266415544124334E-2</v>
      </c>
      <c r="L16" s="225"/>
      <c r="M16" s="225"/>
      <c r="N16" s="225"/>
      <c r="O16" s="120">
        <v>543.42839400493722</v>
      </c>
      <c r="P16" s="203">
        <f t="shared" si="29"/>
        <v>1.0264653051690851</v>
      </c>
      <c r="Q16" s="160">
        <f t="shared" si="30"/>
        <v>4.785540041674885E-2</v>
      </c>
      <c r="R16" s="160">
        <v>5.8027089397436615E-2</v>
      </c>
      <c r="S16" s="145">
        <f>AVERAGE(Q4:Q16)</f>
        <v>2.6266415544124334E-2</v>
      </c>
      <c r="T16" s="117">
        <v>91.037577087104211</v>
      </c>
      <c r="U16" s="117">
        <v>195.39500000000001</v>
      </c>
      <c r="V16" s="117"/>
      <c r="W16" s="119">
        <v>123.6</v>
      </c>
      <c r="X16" s="124">
        <f t="shared" si="31"/>
        <v>0</v>
      </c>
      <c r="Y16" s="119">
        <v>112058.98952764735</v>
      </c>
      <c r="Z16" s="117">
        <v>4439585.5323656304</v>
      </c>
      <c r="AA16" s="119">
        <v>0.30861723446893791</v>
      </c>
      <c r="AB16" s="119">
        <f t="shared" si="0"/>
        <v>633.1305519480519</v>
      </c>
      <c r="AC16" s="119">
        <f t="shared" si="1"/>
        <v>1214977.5291883117</v>
      </c>
      <c r="AD16" s="119">
        <f t="shared" si="2"/>
        <v>0.27366913427635026</v>
      </c>
      <c r="AE16" s="119">
        <f t="shared" si="32"/>
        <v>-2.2745736092450231E-2</v>
      </c>
      <c r="AF16" s="119">
        <f t="shared" si="3"/>
        <v>24150.822</v>
      </c>
      <c r="AG16" s="145">
        <f t="shared" si="4"/>
        <v>0.21551882719807566</v>
      </c>
      <c r="AH16" s="119">
        <f t="shared" si="5"/>
        <v>0.21551882719807566</v>
      </c>
      <c r="AI16" s="120">
        <v>93.187342368889375</v>
      </c>
      <c r="AJ16" s="122">
        <f>+'Base_Budget Constraint'!T38/'Base_Budget Constraint'!$T$60</f>
        <v>0.95746409654459208</v>
      </c>
      <c r="AK16" s="119">
        <v>-1129</v>
      </c>
      <c r="AL16" s="119">
        <v>8.4000000000000005E-2</v>
      </c>
      <c r="AM16" s="119">
        <v>6.8959999999999999</v>
      </c>
      <c r="AN16" s="58">
        <f t="shared" si="6"/>
        <v>0.85234560000000004</v>
      </c>
      <c r="AO16" s="58">
        <f t="shared" si="7"/>
        <v>0.9363456</v>
      </c>
      <c r="AP16" s="121">
        <f t="shared" si="33"/>
        <v>-1128.0636543999999</v>
      </c>
      <c r="AQ16" s="125">
        <f t="shared" si="21"/>
        <v>-1.0066694864508683E-2</v>
      </c>
      <c r="AR16" s="119">
        <v>11.259</v>
      </c>
      <c r="AS16" s="119">
        <f t="shared" si="8"/>
        <v>36.48208441558441</v>
      </c>
      <c r="AT16" s="124">
        <f t="shared" si="9"/>
        <v>1.5769291859143924E-2</v>
      </c>
      <c r="AU16" s="119">
        <f t="shared" si="10"/>
        <v>1391.6124</v>
      </c>
      <c r="AV16" s="58">
        <v>1042</v>
      </c>
      <c r="AW16" s="126">
        <f t="shared" si="34"/>
        <v>2433.6124</v>
      </c>
      <c r="AX16" s="119">
        <v>2.5877273318523249E-2</v>
      </c>
      <c r="AY16" s="58">
        <f t="shared" si="35"/>
        <v>94044.390614292133</v>
      </c>
      <c r="AZ16" s="127">
        <f t="shared" si="22"/>
        <v>2.1183146473626027E-2</v>
      </c>
      <c r="BA16" s="58">
        <f t="shared" si="11"/>
        <v>2.5877273318523248</v>
      </c>
      <c r="BB16" s="58"/>
      <c r="BC16" s="119">
        <f t="shared" si="12"/>
        <v>2520.6124</v>
      </c>
      <c r="BD16" s="58"/>
      <c r="BE16" s="119">
        <v>136</v>
      </c>
      <c r="BF16" s="119">
        <v>-1611</v>
      </c>
      <c r="BG16" s="122">
        <v>14584</v>
      </c>
      <c r="BH16" s="119">
        <f t="shared" si="13"/>
        <v>0.13014573896725898</v>
      </c>
      <c r="BI16" s="119">
        <f t="shared" si="36"/>
        <v>-1.1559127513697531E-3</v>
      </c>
      <c r="BJ16" s="119">
        <v>57.131999999999998</v>
      </c>
      <c r="BK16" s="124"/>
      <c r="BL16" s="119">
        <v>7112</v>
      </c>
      <c r="BM16" s="119">
        <f t="shared" si="23"/>
        <v>1.0730281290732953</v>
      </c>
      <c r="BN16" s="119">
        <f t="shared" si="14"/>
        <v>1.2197070572569908</v>
      </c>
      <c r="BO16" s="119">
        <v>1.1103526022425461</v>
      </c>
      <c r="BP16" s="119">
        <f t="shared" si="15"/>
        <v>3.1694959776108568E-2</v>
      </c>
      <c r="BQ16" s="119">
        <f t="shared" si="16"/>
        <v>4.1173008521200642E-2</v>
      </c>
      <c r="BR16" s="119">
        <f t="shared" si="24"/>
        <v>3.1583308038079495E-2</v>
      </c>
      <c r="BS16" s="119">
        <f t="shared" si="17"/>
        <v>-613.13419469755729</v>
      </c>
      <c r="BT16" s="124">
        <f t="shared" si="18"/>
        <v>-1.0581933536139681E-2</v>
      </c>
      <c r="BU16" s="58">
        <v>4427.3</v>
      </c>
      <c r="BV16" s="58">
        <v>2576</v>
      </c>
      <c r="BW16" s="58">
        <v>6915.3</v>
      </c>
      <c r="BX16" s="124">
        <f t="shared" si="19"/>
        <v>3.950865538465069E-2</v>
      </c>
      <c r="BY16" s="124">
        <f t="shared" si="20"/>
        <v>2.298789245609292E-2</v>
      </c>
      <c r="BZ16" s="124">
        <f t="shared" si="25"/>
        <v>6.1711247166777707E-2</v>
      </c>
      <c r="CB16" s="194">
        <v>-2.2745736092450231E-2</v>
      </c>
      <c r="CC16" s="194">
        <v>-1.1559127513697531E-3</v>
      </c>
      <c r="CD16" s="194">
        <v>2.4089246542964109E-2</v>
      </c>
      <c r="CE16" s="196">
        <v>-1.2495112828940561E-2</v>
      </c>
      <c r="CF16" s="197">
        <v>1.0066694864508683E-2</v>
      </c>
      <c r="CG16" s="196">
        <f t="shared" si="26"/>
        <v>-1.315327619556792E-2</v>
      </c>
      <c r="CH16" s="197">
        <v>0.14133738601823698</v>
      </c>
      <c r="CI16" s="196">
        <v>1.5769291859143924E-2</v>
      </c>
      <c r="CJ16" s="193">
        <v>1.0730281290732953</v>
      </c>
      <c r="CK16" s="194">
        <f t="shared" si="37"/>
        <v>7.3028129073295256E-2</v>
      </c>
      <c r="CL16" s="206">
        <v>-15.699</v>
      </c>
      <c r="CM16" s="206">
        <v>36.036999999999999</v>
      </c>
      <c r="CN16" s="206">
        <v>53.155999999999999</v>
      </c>
      <c r="CO16" s="196"/>
      <c r="CP16" s="196"/>
      <c r="CQ16" s="196"/>
      <c r="CR16" s="196"/>
      <c r="CS16" s="196"/>
      <c r="CT16" s="196"/>
      <c r="CU16" s="196"/>
      <c r="CV16" s="196"/>
      <c r="CW16" s="196"/>
      <c r="CX16" s="196"/>
      <c r="CY16" s="196"/>
      <c r="CZ16" s="196"/>
      <c r="DA16" s="196"/>
      <c r="DB16" s="196"/>
      <c r="DC16" s="195"/>
      <c r="DH16" s="124"/>
      <c r="DI16" s="124"/>
      <c r="ED16" s="189" t="s">
        <v>402</v>
      </c>
      <c r="EE16" s="190">
        <f>+AVERAGE(CF5:CF16)</f>
        <v>1.6939823321457336E-2</v>
      </c>
      <c r="EF16" s="190">
        <f>+AVERAGE(CF17:CF32)</f>
        <v>1.8412044492443977E-2</v>
      </c>
      <c r="EG16" s="190">
        <f>+AVERAGE(CF33:CF46)</f>
        <v>-6.4813633409151541E-3</v>
      </c>
      <c r="EH16" s="190">
        <f>+AVERAGE(CF47:CF57)</f>
        <v>-7.1138497045627157E-3</v>
      </c>
      <c r="EK16" s="191" t="s">
        <v>233</v>
      </c>
      <c r="EL16" s="192">
        <f>SUM(EL12:EL15)</f>
        <v>2.6837851250442506E-2</v>
      </c>
      <c r="EM16" s="192">
        <f>SUM(EM12:EM15)</f>
        <v>2.96334098400622E-2</v>
      </c>
      <c r="EN16" s="192">
        <f>SUM(EN12:EN15)</f>
        <v>-4.6027028432298555E-4</v>
      </c>
      <c r="EO16" s="192">
        <f>SUM(EO12:EO15)</f>
        <v>3.6083889978720408E-3</v>
      </c>
      <c r="EP16" s="117"/>
    </row>
    <row r="17" spans="1:146" s="119" customFormat="1">
      <c r="A17" s="117">
        <v>1974</v>
      </c>
      <c r="B17" s="145">
        <v>0.48538011695906436</v>
      </c>
      <c r="C17" s="145">
        <f>AVERAGE(B5:B25)</f>
        <v>0.28799570750836662</v>
      </c>
      <c r="D17" s="145"/>
      <c r="E17" s="145"/>
      <c r="F17" s="145"/>
      <c r="G17" s="145"/>
      <c r="H17" s="120">
        <v>923.95747684910361</v>
      </c>
      <c r="I17" s="120">
        <f t="shared" si="27"/>
        <v>143.30266361079052</v>
      </c>
      <c r="J17" s="280">
        <f t="shared" si="28"/>
        <v>5.8027089397436615E-2</v>
      </c>
      <c r="K17" s="223"/>
      <c r="L17" s="223">
        <f>AVERAGE($J$17:$J$32)</f>
        <v>3.8322192141488499E-2</v>
      </c>
      <c r="M17" s="223"/>
      <c r="N17" s="223"/>
      <c r="O17" s="120">
        <v>563.22514113619229</v>
      </c>
      <c r="P17" s="203">
        <f t="shared" si="29"/>
        <v>1.0364293572983145</v>
      </c>
      <c r="Q17" s="160">
        <f t="shared" si="30"/>
        <v>5.8027089397436615E-2</v>
      </c>
      <c r="R17" s="160">
        <v>4.2253360940087692E-2</v>
      </c>
      <c r="S17" s="145">
        <f>AVERAGE(Q17:Q32)</f>
        <v>3.8322192141488499E-2</v>
      </c>
      <c r="T17" s="117">
        <v>94.354017510383187</v>
      </c>
      <c r="U17" s="117">
        <v>225.84200000000001</v>
      </c>
      <c r="V17" s="117"/>
      <c r="W17" s="119">
        <v>123.6</v>
      </c>
      <c r="X17" s="124">
        <f t="shared" si="31"/>
        <v>0</v>
      </c>
      <c r="Y17" s="119">
        <v>151151.99149675915</v>
      </c>
      <c r="Z17" s="117">
        <v>4811690.5231053187</v>
      </c>
      <c r="AA17" s="119">
        <v>0.34669338677354705</v>
      </c>
      <c r="AB17" s="119">
        <f t="shared" si="0"/>
        <v>651.41709826589602</v>
      </c>
      <c r="AC17" s="119">
        <f t="shared" si="1"/>
        <v>1250069.4115722545</v>
      </c>
      <c r="AD17" s="119">
        <f t="shared" si="2"/>
        <v>0.25979838178900538</v>
      </c>
      <c r="AE17" s="119">
        <f t="shared" si="32"/>
        <v>-1.3870752487344873E-2</v>
      </c>
      <c r="AF17" s="119">
        <f t="shared" si="3"/>
        <v>27914.071200000002</v>
      </c>
      <c r="AG17" s="145">
        <f t="shared" si="4"/>
        <v>0.18467551054792758</v>
      </c>
      <c r="AH17" s="119">
        <f t="shared" si="5"/>
        <v>0.18467551054792758</v>
      </c>
      <c r="AI17" s="120">
        <v>90.151039830811627</v>
      </c>
      <c r="AJ17" s="122">
        <f>+'Base_Budget Constraint'!T39/'Base_Budget Constraint'!$T$60</f>
        <v>0.90525580663752803</v>
      </c>
      <c r="AK17" s="119">
        <v>-868</v>
      </c>
      <c r="AL17" s="119">
        <v>7.9000000000000001E-2</v>
      </c>
      <c r="AM17" s="119">
        <v>8.0449999999999999</v>
      </c>
      <c r="AN17" s="58">
        <f t="shared" si="6"/>
        <v>0.99436199999999997</v>
      </c>
      <c r="AO17" s="58">
        <f t="shared" si="7"/>
        <v>1.0733619999999999</v>
      </c>
      <c r="AP17" s="121">
        <f t="shared" si="33"/>
        <v>-866.92663800000003</v>
      </c>
      <c r="AQ17" s="125">
        <f t="shared" si="21"/>
        <v>-5.7354628901372289E-3</v>
      </c>
      <c r="AR17" s="119">
        <v>13.553000000000001</v>
      </c>
      <c r="AS17" s="119">
        <f t="shared" si="8"/>
        <v>39.092179190751452</v>
      </c>
      <c r="AT17" s="124">
        <f t="shared" si="9"/>
        <v>1.559075578672873E-2</v>
      </c>
      <c r="AU17" s="119">
        <f t="shared" si="10"/>
        <v>1675.1508000000001</v>
      </c>
      <c r="AV17" s="58">
        <v>1185</v>
      </c>
      <c r="AW17" s="126">
        <f t="shared" si="34"/>
        <v>2860.1508000000003</v>
      </c>
      <c r="AX17" s="119">
        <v>3.2395630212751859E-2</v>
      </c>
      <c r="AY17" s="58">
        <f t="shared" si="35"/>
        <v>88288.166682250929</v>
      </c>
      <c r="AZ17" s="127">
        <f t="shared" si="22"/>
        <v>1.834867937958579E-2</v>
      </c>
      <c r="BA17" s="58">
        <f t="shared" si="11"/>
        <v>3.239563021275186</v>
      </c>
      <c r="BB17" s="58"/>
      <c r="BC17" s="119">
        <f t="shared" si="12"/>
        <v>2543.1508000000003</v>
      </c>
      <c r="BD17" s="58"/>
      <c r="BE17" s="119">
        <v>1331</v>
      </c>
      <c r="BF17" s="119">
        <v>-1967</v>
      </c>
      <c r="BG17" s="122">
        <v>17279</v>
      </c>
      <c r="BH17" s="119">
        <f t="shared" si="13"/>
        <v>0.11431539756041176</v>
      </c>
      <c r="BI17" s="119">
        <f t="shared" si="36"/>
        <v>-1.583034140684722E-2</v>
      </c>
      <c r="BJ17" s="119">
        <v>87.02</v>
      </c>
      <c r="BK17" s="124"/>
      <c r="BL17" s="119">
        <v>8312</v>
      </c>
      <c r="BM17" s="119">
        <f t="shared" si="23"/>
        <v>1.083815254380607</v>
      </c>
      <c r="BN17" s="119">
        <f t="shared" si="14"/>
        <v>1.0867903930131004</v>
      </c>
      <c r="BO17" s="119">
        <v>1.0913193073470258</v>
      </c>
      <c r="BP17" s="119">
        <f t="shared" si="15"/>
        <v>1.5874746496011925E-2</v>
      </c>
      <c r="BQ17" s="119">
        <f t="shared" si="16"/>
        <v>4.3512721283020868E-2</v>
      </c>
      <c r="BR17" s="119">
        <f t="shared" si="24"/>
        <v>3.5308258741131131E-2</v>
      </c>
      <c r="BS17" s="119">
        <f t="shared" si="17"/>
        <v>-628.41669481192696</v>
      </c>
      <c r="BT17" s="124">
        <f t="shared" si="18"/>
        <v>-1.0483159065081229E-2</v>
      </c>
      <c r="BU17" s="58">
        <v>3188.8</v>
      </c>
      <c r="BV17" s="58">
        <v>3018.8</v>
      </c>
      <c r="BW17" s="58">
        <v>6150.8</v>
      </c>
      <c r="BX17" s="124">
        <f t="shared" si="19"/>
        <v>2.1096645624205164E-2</v>
      </c>
      <c r="BY17" s="124">
        <f t="shared" si="20"/>
        <v>1.9971949890350775E-2</v>
      </c>
      <c r="BZ17" s="124">
        <f t="shared" si="25"/>
        <v>4.0692814822303414E-2</v>
      </c>
      <c r="CB17" s="145">
        <v>-1.3870752487344873E-2</v>
      </c>
      <c r="CC17" s="145">
        <v>-1.583034140684722E-2</v>
      </c>
      <c r="CD17" s="145">
        <v>3.1694959776108568E-2</v>
      </c>
      <c r="CE17" s="124">
        <v>-1.0581933536139681E-2</v>
      </c>
      <c r="CF17" s="146">
        <v>5.7354628901372289E-3</v>
      </c>
      <c r="CG17" s="124">
        <f t="shared" si="26"/>
        <v>-8.7504192588098023E-3</v>
      </c>
      <c r="CH17" s="146">
        <v>0.2197070572569908</v>
      </c>
      <c r="CI17" s="124">
        <v>1.559075578672873E-2</v>
      </c>
      <c r="CJ17" s="117">
        <v>1.083815254380607</v>
      </c>
      <c r="CK17" s="145">
        <f t="shared" si="37"/>
        <v>8.3815254380606996E-2</v>
      </c>
      <c r="CL17" s="120">
        <v>-58.052999999999997</v>
      </c>
      <c r="CM17" s="120">
        <v>94.459000000000003</v>
      </c>
      <c r="CN17" s="120">
        <v>83.448999999999998</v>
      </c>
      <c r="CO17" s="124"/>
      <c r="CP17" s="124"/>
      <c r="CQ17" s="124"/>
      <c r="CR17" s="124"/>
      <c r="CS17" s="124"/>
      <c r="CT17" s="124"/>
      <c r="CU17" s="124"/>
      <c r="CV17" s="124"/>
      <c r="CW17" s="124"/>
      <c r="CX17" s="124"/>
      <c r="CY17" s="124"/>
      <c r="CZ17" s="124"/>
      <c r="DA17" s="124"/>
      <c r="DB17" s="124"/>
      <c r="DH17" s="124"/>
      <c r="DI17" s="124"/>
      <c r="ED17" s="131" t="s">
        <v>292</v>
      </c>
      <c r="EE17" s="133">
        <f>+AVERAGE(CI5:CI16)</f>
        <v>1.4504992223754247E-2</v>
      </c>
      <c r="EF17" s="133">
        <f>+AVERAGE(CI17:CI32)</f>
        <v>1.9252438245653123E-2</v>
      </c>
      <c r="EG17" s="133">
        <f>+AVERAGE(CI33:CI46)</f>
        <v>1.8385680651652747E-2</v>
      </c>
      <c r="EH17" s="133">
        <f>+AVERAGE(CI47:CI57)</f>
        <v>1.4628456098353065E-2</v>
      </c>
      <c r="EK17" s="180" t="s">
        <v>406</v>
      </c>
      <c r="EL17" s="186"/>
      <c r="EM17" s="186"/>
      <c r="EN17" s="186"/>
      <c r="EO17" s="186"/>
      <c r="EP17" s="117"/>
    </row>
    <row r="18" spans="1:146" s="119" customFormat="1">
      <c r="A18" s="117">
        <v>1975</v>
      </c>
      <c r="B18" s="145">
        <v>1.5702099737532809</v>
      </c>
      <c r="C18" s="145">
        <f>AVERAGE(B5:B25)</f>
        <v>0.28799570750836662</v>
      </c>
      <c r="D18" s="145"/>
      <c r="E18" s="145"/>
      <c r="F18" s="145"/>
      <c r="G18" s="145"/>
      <c r="H18" s="120">
        <v>962.99778561170149</v>
      </c>
      <c r="I18" s="120">
        <f t="shared" si="27"/>
        <v>149.35768278001322</v>
      </c>
      <c r="J18" s="280">
        <f t="shared" si="28"/>
        <v>4.2253360940087692E-2</v>
      </c>
      <c r="K18" s="223"/>
      <c r="L18" s="223">
        <f t="shared" ref="L18:L32" si="39">AVERAGE($J$17:$J$32)</f>
        <v>3.8322192141488499E-2</v>
      </c>
      <c r="M18" s="223"/>
      <c r="N18" s="223"/>
      <c r="O18" s="120">
        <v>575.04026486273506</v>
      </c>
      <c r="P18" s="203">
        <f t="shared" si="29"/>
        <v>1.0209776213162434</v>
      </c>
      <c r="Q18" s="160">
        <f t="shared" si="30"/>
        <v>4.2253360940087692E-2</v>
      </c>
      <c r="R18" s="160">
        <v>4.8270071675707182E-2</v>
      </c>
      <c r="S18" s="145">
        <f>AVERAGE(Q17:Q32)</f>
        <v>3.8322192141488499E-2</v>
      </c>
      <c r="T18" s="117">
        <v>96.333340359382191</v>
      </c>
      <c r="U18" s="117">
        <v>267.37400000000002</v>
      </c>
      <c r="V18" s="117"/>
      <c r="W18" s="119">
        <v>123.6</v>
      </c>
      <c r="X18" s="124">
        <f>+W18/W17-1</f>
        <v>0</v>
      </c>
      <c r="Y18" s="119">
        <v>170338.06477592592</v>
      </c>
      <c r="Z18" s="117">
        <v>5141408.956048863</v>
      </c>
      <c r="AA18" s="119">
        <v>0.37074148296593185</v>
      </c>
      <c r="AB18" s="119">
        <f t="shared" si="0"/>
        <v>721.18716756756771</v>
      </c>
      <c r="AC18" s="119">
        <f t="shared" si="1"/>
        <v>1383958.1745621625</v>
      </c>
      <c r="AD18" s="119">
        <f t="shared" si="2"/>
        <v>0.26917877694477832</v>
      </c>
      <c r="AE18" s="119">
        <f t="shared" si="32"/>
        <v>9.3803951557729359E-3</v>
      </c>
      <c r="AF18" s="119">
        <f t="shared" si="3"/>
        <v>33047.426400000004</v>
      </c>
      <c r="AG18" s="145">
        <f t="shared" si="4"/>
        <v>0.19401081281199711</v>
      </c>
      <c r="AH18" s="119">
        <f t="shared" si="5"/>
        <v>0.19401081281199711</v>
      </c>
      <c r="AI18" s="120">
        <v>83.043793271209822</v>
      </c>
      <c r="AJ18" s="122">
        <f>+'Base_Budget Constraint'!T40/'Base_Budget Constraint'!$T$60</f>
        <v>0.91786990896808474</v>
      </c>
      <c r="AK18" s="119">
        <v>-8779.9</v>
      </c>
      <c r="AL18" s="119">
        <v>8.7999999999999995E-2</v>
      </c>
      <c r="AM18" s="119">
        <v>9.827</v>
      </c>
      <c r="AN18" s="58">
        <f t="shared" si="6"/>
        <v>1.2146172</v>
      </c>
      <c r="AO18" s="58">
        <f t="shared" si="7"/>
        <v>1.3026172</v>
      </c>
      <c r="AP18" s="121">
        <f t="shared" si="33"/>
        <v>-8778.5973827999987</v>
      </c>
      <c r="AQ18" s="125">
        <f t="shared" si="21"/>
        <v>-5.1536322162330263E-2</v>
      </c>
      <c r="AR18" s="119">
        <v>15.412000000000001</v>
      </c>
      <c r="AS18" s="119">
        <f t="shared" si="8"/>
        <v>41.570745945945951</v>
      </c>
      <c r="AT18" s="124">
        <f t="shared" si="9"/>
        <v>1.5516031140922166E-2</v>
      </c>
      <c r="AU18" s="119">
        <f t="shared" si="10"/>
        <v>1904.9232</v>
      </c>
      <c r="AV18" s="58">
        <v>666.9</v>
      </c>
      <c r="AW18" s="126">
        <f t="shared" si="34"/>
        <v>2571.8231999999998</v>
      </c>
      <c r="AX18" s="119">
        <v>3.4563889207429276E-2</v>
      </c>
      <c r="AY18" s="58">
        <f t="shared" si="35"/>
        <v>74407.807077659643</v>
      </c>
      <c r="AZ18" s="127">
        <f t="shared" si="22"/>
        <v>1.4472259980431808E-2</v>
      </c>
      <c r="BA18" s="58">
        <f t="shared" si="11"/>
        <v>3.4563889207429277</v>
      </c>
      <c r="BB18" s="58"/>
      <c r="BC18" s="119">
        <f t="shared" si="12"/>
        <v>10684.823199999999</v>
      </c>
      <c r="BD18" s="58"/>
      <c r="BE18" s="119">
        <v>-729.4</v>
      </c>
      <c r="BF18" s="119">
        <v>-8205.7000000000007</v>
      </c>
      <c r="BG18" s="122">
        <v>21045</v>
      </c>
      <c r="BH18" s="119">
        <f t="shared" si="13"/>
        <v>0.1235484272272554</v>
      </c>
      <c r="BI18" s="119">
        <f t="shared" si="36"/>
        <v>9.2330296668436396E-3</v>
      </c>
      <c r="BJ18" s="119">
        <v>115.794</v>
      </c>
      <c r="BK18" s="124"/>
      <c r="BL18" s="119">
        <v>9722</v>
      </c>
      <c r="BM18" s="119">
        <f t="shared" si="23"/>
        <v>1.0685244471481001</v>
      </c>
      <c r="BN18" s="119">
        <f t="shared" si="14"/>
        <v>1.0336514314414866</v>
      </c>
      <c r="BO18" s="119">
        <v>1.0573702708309056</v>
      </c>
      <c r="BP18" s="119">
        <f t="shared" si="15"/>
        <v>1.2388097985459453E-2</v>
      </c>
      <c r="BQ18" s="119">
        <f t="shared" si="16"/>
        <v>3.8317113855498283E-2</v>
      </c>
      <c r="BR18" s="119">
        <f t="shared" si="24"/>
        <v>3.8271533382679308E-2</v>
      </c>
      <c r="BS18" s="119">
        <f t="shared" si="17"/>
        <v>-693.58622880884559</v>
      </c>
      <c r="BT18" s="124">
        <f t="shared" si="18"/>
        <v>-1.101922219387973E-2</v>
      </c>
      <c r="BU18" s="58">
        <v>2986</v>
      </c>
      <c r="BV18" s="58">
        <v>3612</v>
      </c>
      <c r="BW18" s="58">
        <v>6491</v>
      </c>
      <c r="BX18" s="124">
        <f t="shared" si="19"/>
        <v>1.7529845744860283E-2</v>
      </c>
      <c r="BY18" s="124">
        <f t="shared" si="20"/>
        <v>2.1204890432161869E-2</v>
      </c>
      <c r="BZ18" s="124">
        <f t="shared" si="25"/>
        <v>3.810657358670063E-2</v>
      </c>
      <c r="CB18" s="145">
        <v>9.3803951557729359E-3</v>
      </c>
      <c r="CC18" s="145">
        <v>9.2330296668436396E-3</v>
      </c>
      <c r="CD18" s="145">
        <v>1.5874746496011925E-2</v>
      </c>
      <c r="CE18" s="124">
        <v>-1.0483159065081229E-2</v>
      </c>
      <c r="CF18" s="146">
        <v>5.1536322162330263E-2</v>
      </c>
      <c r="CG18" s="124">
        <f t="shared" si="26"/>
        <v>-2.2081022919542705E-2</v>
      </c>
      <c r="CH18" s="146">
        <v>8.6790393013100431E-2</v>
      </c>
      <c r="CI18" s="124">
        <v>1.5516031140922166E-2</v>
      </c>
      <c r="CJ18" s="117">
        <v>1.0685244471481001</v>
      </c>
      <c r="CK18" s="145">
        <f t="shared" si="37"/>
        <v>6.8524447148100132E-2</v>
      </c>
      <c r="CL18" s="120">
        <v>-103.592</v>
      </c>
      <c r="CM18" s="120">
        <v>119.95099999999999</v>
      </c>
      <c r="CN18" s="120">
        <v>112.42399999999999</v>
      </c>
      <c r="CO18" s="124"/>
      <c r="CP18" s="124"/>
      <c r="CQ18" s="124"/>
      <c r="CR18" s="124"/>
      <c r="CS18" s="124"/>
      <c r="CT18" s="124"/>
      <c r="CU18" s="124"/>
      <c r="CV18" s="124"/>
      <c r="CW18" s="124"/>
      <c r="CX18" s="124"/>
      <c r="CY18" s="124"/>
      <c r="CZ18" s="124"/>
      <c r="DA18" s="124"/>
      <c r="DB18" s="124"/>
      <c r="DH18" s="124"/>
      <c r="DI18" s="124"/>
      <c r="ED18" s="131" t="s">
        <v>403</v>
      </c>
      <c r="EE18" s="133">
        <f>+AVERAGE(CG5:CG16)</f>
        <v>4.2354905531185134E-3</v>
      </c>
      <c r="EF18" s="133">
        <f>+AVERAGE(CG17:CG32)</f>
        <v>4.4685792779485378E-3</v>
      </c>
      <c r="EG18" s="133">
        <f>+AVERAGE(CG33:CG46)</f>
        <v>1.4589829212998385E-4</v>
      </c>
      <c r="EH18" s="133">
        <f>+AVERAGE(CG47:CG57)</f>
        <v>4.9148988958025962E-3</v>
      </c>
      <c r="EK18" s="181"/>
      <c r="EL18" s="186"/>
      <c r="EM18" s="186"/>
      <c r="EN18" s="186"/>
      <c r="EO18" s="186"/>
      <c r="EP18" s="117"/>
    </row>
    <row r="19" spans="1:146" s="119" customFormat="1">
      <c r="A19" s="117">
        <v>1976</v>
      </c>
      <c r="B19" s="145">
        <v>0.339545570589737</v>
      </c>
      <c r="C19" s="145">
        <f>AVERAGE(B5:B25)</f>
        <v>0.28799570750836662</v>
      </c>
      <c r="D19" s="145"/>
      <c r="E19" s="145"/>
      <c r="F19" s="145"/>
      <c r="G19" s="145"/>
      <c r="H19" s="120">
        <v>1009.4817577467256</v>
      </c>
      <c r="I19" s="120">
        <f t="shared" si="27"/>
        <v>156.567188833122</v>
      </c>
      <c r="J19" s="280">
        <f t="shared" si="28"/>
        <v>4.8270071675707182E-2</v>
      </c>
      <c r="K19" s="223"/>
      <c r="L19" s="223">
        <f t="shared" si="39"/>
        <v>3.8322192141488499E-2</v>
      </c>
      <c r="M19" s="223"/>
      <c r="N19" s="223"/>
      <c r="O19" s="120">
        <v>590.49246604231962</v>
      </c>
      <c r="P19" s="203">
        <f t="shared" si="29"/>
        <v>1.0268715116554021</v>
      </c>
      <c r="Q19" s="160">
        <f t="shared" si="30"/>
        <v>4.8270071675707182E-2</v>
      </c>
      <c r="R19" s="160">
        <v>8.6790604582211772E-2</v>
      </c>
      <c r="S19" s="145">
        <f>AVERAGE(Q17:Q32)</f>
        <v>3.8322192141488499E-2</v>
      </c>
      <c r="T19" s="117">
        <v>98.921962837653155</v>
      </c>
      <c r="U19" s="117">
        <v>383.41800000000001</v>
      </c>
      <c r="V19" s="117"/>
      <c r="W19" s="119">
        <v>126.6</v>
      </c>
      <c r="X19" s="124">
        <f t="shared" ref="X19:X59" si="40">+W19/W18-1</f>
        <v>2.4271844660194164E-2</v>
      </c>
      <c r="Y19" s="119">
        <v>194143.3509485957</v>
      </c>
      <c r="Z19" s="117">
        <v>5528348.7992478637</v>
      </c>
      <c r="AA19" s="119">
        <v>0.38877755511022044</v>
      </c>
      <c r="AB19" s="119">
        <f t="shared" si="0"/>
        <v>986.21434020618562</v>
      </c>
      <c r="AC19" s="119">
        <f t="shared" si="1"/>
        <v>1892545.3188556703</v>
      </c>
      <c r="AD19" s="119">
        <f t="shared" si="2"/>
        <v>0.34233464413698944</v>
      </c>
      <c r="AE19" s="119">
        <f t="shared" si="32"/>
        <v>7.3155867192211121E-2</v>
      </c>
      <c r="AF19" s="119">
        <f t="shared" si="3"/>
        <v>48540.718799999995</v>
      </c>
      <c r="AG19" s="145">
        <f t="shared" si="4"/>
        <v>0.25002514154014144</v>
      </c>
      <c r="AH19" s="119">
        <f t="shared" si="5"/>
        <v>0.25002514154014144</v>
      </c>
      <c r="AI19" s="120">
        <v>85.768262284986164</v>
      </c>
      <c r="AJ19" s="122">
        <f>+'Base_Budget Constraint'!T41/'Base_Budget Constraint'!$T$60</f>
        <v>0.95002952842981447</v>
      </c>
      <c r="AK19" s="119">
        <v>-5245.4</v>
      </c>
      <c r="AL19" s="119">
        <v>0.10199999999999999</v>
      </c>
      <c r="AM19" s="119">
        <v>10.244999999999999</v>
      </c>
      <c r="AN19" s="58">
        <f t="shared" si="6"/>
        <v>1.2970169999999999</v>
      </c>
      <c r="AO19" s="58">
        <f t="shared" si="7"/>
        <v>1.399017</v>
      </c>
      <c r="AP19" s="121">
        <f t="shared" si="33"/>
        <v>-5244.0009829999999</v>
      </c>
      <c r="AQ19" s="125">
        <f t="shared" si="21"/>
        <v>-2.7010973887993103E-2</v>
      </c>
      <c r="AR19" s="119">
        <v>14.132999999999999</v>
      </c>
      <c r="AS19" s="119">
        <f t="shared" si="8"/>
        <v>36.352407216494846</v>
      </c>
      <c r="AT19" s="124">
        <f t="shared" si="9"/>
        <v>1.2618644731306488E-2</v>
      </c>
      <c r="AU19" s="119">
        <f t="shared" si="10"/>
        <v>1789.2377999999999</v>
      </c>
      <c r="AV19" s="58">
        <v>589</v>
      </c>
      <c r="AW19" s="126">
        <f t="shared" si="34"/>
        <v>2378.2377999999999</v>
      </c>
      <c r="AX19" s="119">
        <v>3.6110490090897875E-2</v>
      </c>
      <c r="AY19" s="58">
        <f t="shared" si="35"/>
        <v>65860.025549735365</v>
      </c>
      <c r="AZ19" s="127">
        <f t="shared" si="22"/>
        <v>1.1913145849027413E-2</v>
      </c>
      <c r="BA19" s="58">
        <f t="shared" si="11"/>
        <v>3.6110490090897875</v>
      </c>
      <c r="BB19" s="58"/>
      <c r="BC19" s="119">
        <f t="shared" si="12"/>
        <v>7034.6377999999995</v>
      </c>
      <c r="BD19" s="58"/>
      <c r="BE19" s="119">
        <v>-4273.2</v>
      </c>
      <c r="BF19" s="119">
        <v>-1473.5</v>
      </c>
      <c r="BG19" s="122">
        <v>25198</v>
      </c>
      <c r="BH19" s="119">
        <f t="shared" si="13"/>
        <v>0.12979069268600293</v>
      </c>
      <c r="BI19" s="119">
        <f t="shared" si="36"/>
        <v>6.2422654587475368E-3</v>
      </c>
      <c r="BJ19" s="119">
        <v>157.63</v>
      </c>
      <c r="BK19" s="124"/>
      <c r="BL19" s="119">
        <v>11257</v>
      </c>
      <c r="BM19" s="119">
        <f t="shared" si="23"/>
        <v>1.0752594953069754</v>
      </c>
      <c r="BN19" s="119">
        <f t="shared" si="14"/>
        <v>1.0937803692905732</v>
      </c>
      <c r="BO19" s="119">
        <v>1.0648646006449871</v>
      </c>
      <c r="BP19" s="119">
        <f t="shared" si="15"/>
        <v>2.3361293333512764E-2</v>
      </c>
      <c r="BQ19" s="119">
        <f t="shared" si="16"/>
        <v>3.6850121799185225E-2</v>
      </c>
      <c r="BR19" s="119">
        <f t="shared" si="24"/>
        <v>3.2273538536299419E-2</v>
      </c>
      <c r="BS19" s="119">
        <f t="shared" si="17"/>
        <v>-954.38571369249019</v>
      </c>
      <c r="BT19" s="124">
        <f t="shared" si="18"/>
        <v>-1.3243552628072955E-2</v>
      </c>
      <c r="BU19" s="58">
        <v>2703</v>
      </c>
      <c r="BV19" s="58">
        <v>3096</v>
      </c>
      <c r="BW19" s="58">
        <v>5700</v>
      </c>
      <c r="BX19" s="124">
        <f t="shared" si="19"/>
        <v>1.3922701894208505E-2</v>
      </c>
      <c r="BY19" s="124">
        <f t="shared" si="20"/>
        <v>1.5946979306130052E-2</v>
      </c>
      <c r="BZ19" s="124">
        <f t="shared" si="25"/>
        <v>2.9359748722526259E-2</v>
      </c>
      <c r="CB19" s="145">
        <v>7.3155867192211121E-2</v>
      </c>
      <c r="CC19" s="145">
        <v>6.2422654587475368E-3</v>
      </c>
      <c r="CD19" s="145">
        <v>1.2388097985459453E-2</v>
      </c>
      <c r="CE19" s="124">
        <v>-1.101922219387973E-2</v>
      </c>
      <c r="CF19" s="146">
        <v>2.7010973887993103E-2</v>
      </c>
      <c r="CG19" s="124">
        <f t="shared" si="26"/>
        <v>6.3175834210998247E-2</v>
      </c>
      <c r="CH19" s="146">
        <v>3.3651431441486634E-2</v>
      </c>
      <c r="CI19" s="124">
        <v>1.2618644731306488E-2</v>
      </c>
      <c r="CJ19" s="117">
        <v>1.0752594953069754</v>
      </c>
      <c r="CK19" s="145">
        <f t="shared" si="37"/>
        <v>7.5259495306975399E-2</v>
      </c>
      <c r="CL19" s="120">
        <v>-109.432</v>
      </c>
      <c r="CM19" s="120">
        <v>160.64400000000001</v>
      </c>
      <c r="CN19" s="120">
        <v>151.42099999999999</v>
      </c>
      <c r="CO19" s="124"/>
      <c r="CP19" s="124"/>
      <c r="CQ19" s="124"/>
      <c r="CR19" s="124"/>
      <c r="CS19" s="124"/>
      <c r="CT19" s="124"/>
      <c r="CU19" s="124"/>
      <c r="CV19" s="124"/>
      <c r="CW19" s="124"/>
      <c r="CX19" s="124"/>
      <c r="CY19" s="124"/>
      <c r="CZ19" s="124"/>
      <c r="DA19" s="124"/>
      <c r="DB19" s="124"/>
      <c r="DH19" s="124"/>
      <c r="DI19" s="124"/>
      <c r="EK19" s="179"/>
      <c r="EL19" s="182" t="s">
        <v>288</v>
      </c>
      <c r="EM19" s="183" t="s">
        <v>289</v>
      </c>
      <c r="EN19" s="183" t="s">
        <v>290</v>
      </c>
      <c r="EO19" s="183" t="s">
        <v>291</v>
      </c>
      <c r="EP19" s="117"/>
    </row>
    <row r="20" spans="1:146" s="119" customFormat="1">
      <c r="A20" s="117">
        <v>1977</v>
      </c>
      <c r="B20" s="145">
        <v>0.17953116066323616</v>
      </c>
      <c r="C20" s="145">
        <f>AVERAGE(B5:B25)</f>
        <v>0.28799570750836662</v>
      </c>
      <c r="D20" s="145"/>
      <c r="E20" s="145"/>
      <c r="F20" s="145"/>
      <c r="G20" s="145"/>
      <c r="H20" s="120">
        <v>1097.0952898162777</v>
      </c>
      <c r="I20" s="120">
        <f t="shared" si="27"/>
        <v>170.15574980968594</v>
      </c>
      <c r="J20" s="280">
        <f t="shared" si="28"/>
        <v>8.6790604582211772E-2</v>
      </c>
      <c r="K20" s="223"/>
      <c r="L20" s="223">
        <f t="shared" si="39"/>
        <v>3.8322192141488499E-2</v>
      </c>
      <c r="M20" s="223"/>
      <c r="N20" s="223"/>
      <c r="O20" s="120">
        <v>628.64165503312756</v>
      </c>
      <c r="P20" s="203">
        <f t="shared" si="29"/>
        <v>1.0646057167274237</v>
      </c>
      <c r="Q20" s="160">
        <f t="shared" si="30"/>
        <v>8.6790604582211772E-2</v>
      </c>
      <c r="R20" s="160">
        <v>9.1537076428256148E-2</v>
      </c>
      <c r="S20" s="145">
        <f>AVERAGE(Q17:Q32)</f>
        <v>3.8322192141488499E-2</v>
      </c>
      <c r="T20" s="117">
        <v>105.3128871468633</v>
      </c>
      <c r="U20" s="117">
        <v>431.73200000000003</v>
      </c>
      <c r="V20" s="117"/>
      <c r="W20" s="119">
        <v>126.6</v>
      </c>
      <c r="X20" s="124">
        <f t="shared" si="40"/>
        <v>0</v>
      </c>
      <c r="Y20" s="119">
        <v>240956.52083487576</v>
      </c>
      <c r="Z20" s="117">
        <v>6163781.7214908572</v>
      </c>
      <c r="AA20" s="119">
        <v>0.41482965931863724</v>
      </c>
      <c r="AB20" s="119">
        <f t="shared" si="0"/>
        <v>1040.7452560386475</v>
      </c>
      <c r="AC20" s="119">
        <f t="shared" si="1"/>
        <v>1997190.1463381646</v>
      </c>
      <c r="AD20" s="119">
        <f t="shared" si="2"/>
        <v>0.32402025843561127</v>
      </c>
      <c r="AE20" s="119">
        <f t="shared" si="32"/>
        <v>-1.8314385701378166E-2</v>
      </c>
      <c r="AF20" s="119">
        <f t="shared" si="3"/>
        <v>54657.271200000003</v>
      </c>
      <c r="AG20" s="145">
        <f t="shared" si="4"/>
        <v>0.22683457999236256</v>
      </c>
      <c r="AH20" s="119">
        <f t="shared" si="5"/>
        <v>0.22683457999236256</v>
      </c>
      <c r="AI20" s="120">
        <v>87.830613201188029</v>
      </c>
      <c r="AJ20" s="122">
        <f>+'Base_Budget Constraint'!T42/'Base_Budget Constraint'!$T$60</f>
        <v>0.92501080280286585</v>
      </c>
      <c r="AK20" s="119">
        <v>-2329.6999999999998</v>
      </c>
      <c r="AL20" s="119">
        <v>0.11600000000000001</v>
      </c>
      <c r="AM20" s="119">
        <v>14.129</v>
      </c>
      <c r="AN20" s="58">
        <f t="shared" si="6"/>
        <v>1.7887313999999999</v>
      </c>
      <c r="AO20" s="58">
        <f t="shared" si="7"/>
        <v>1.9047314</v>
      </c>
      <c r="AP20" s="121">
        <f t="shared" si="33"/>
        <v>-2327.7952685999999</v>
      </c>
      <c r="AQ20" s="125">
        <f t="shared" si="21"/>
        <v>-9.660644420555883E-3</v>
      </c>
      <c r="AR20" s="119">
        <v>19.545000000000002</v>
      </c>
      <c r="AS20" s="119">
        <f t="shared" si="8"/>
        <v>47.115724637681168</v>
      </c>
      <c r="AT20" s="124">
        <f t="shared" si="9"/>
        <v>1.4668766621709817E-2</v>
      </c>
      <c r="AU20" s="119">
        <f t="shared" si="10"/>
        <v>2474.3969999999999</v>
      </c>
      <c r="AV20" s="58">
        <v>1177.0999999999999</v>
      </c>
      <c r="AW20" s="126">
        <f t="shared" si="34"/>
        <v>3651.4969999999998</v>
      </c>
      <c r="AX20" s="119">
        <v>3.9490378850868257E-2</v>
      </c>
      <c r="AY20" s="58">
        <f t="shared" si="35"/>
        <v>92465.484157281418</v>
      </c>
      <c r="AZ20" s="127">
        <f t="shared" si="22"/>
        <v>1.5001420935281992E-2</v>
      </c>
      <c r="BA20" s="58">
        <f t="shared" si="11"/>
        <v>3.9490378850868257</v>
      </c>
      <c r="BB20" s="58"/>
      <c r="BC20" s="119">
        <f t="shared" si="12"/>
        <v>4804.0969999999998</v>
      </c>
      <c r="BD20" s="58"/>
      <c r="BE20" s="119">
        <v>579.29999999999995</v>
      </c>
      <c r="BF20" s="119">
        <v>-4187.1000000000004</v>
      </c>
      <c r="BG20" s="122">
        <v>33240</v>
      </c>
      <c r="BH20" s="119">
        <f t="shared" si="13"/>
        <v>0.13795019900199723</v>
      </c>
      <c r="BI20" s="119">
        <f t="shared" si="36"/>
        <v>8.1595063159942971E-3</v>
      </c>
      <c r="BJ20" s="119">
        <v>267.40600000000001</v>
      </c>
      <c r="BK20" s="124"/>
      <c r="BL20" s="119">
        <v>14757</v>
      </c>
      <c r="BM20" s="119">
        <f t="shared" si="23"/>
        <v>1.1149408160225789</v>
      </c>
      <c r="BN20" s="119">
        <f t="shared" si="14"/>
        <v>1.1683696135051087</v>
      </c>
      <c r="BO20" s="119">
        <v>1.0764746385135098</v>
      </c>
      <c r="BP20" s="119">
        <f t="shared" si="15"/>
        <v>3.2556980949628236E-2</v>
      </c>
      <c r="BQ20" s="119">
        <f t="shared" si="16"/>
        <v>4.2804332317270898E-2</v>
      </c>
      <c r="BR20" s="119">
        <f t="shared" si="24"/>
        <v>3.055664810275973E-2</v>
      </c>
      <c r="BS20" s="119">
        <f t="shared" si="17"/>
        <v>-1008.943569485258</v>
      </c>
      <c r="BT20" s="124">
        <f t="shared" si="18"/>
        <v>-1.2177265994065498E-2</v>
      </c>
      <c r="BU20" s="58">
        <v>2931</v>
      </c>
      <c r="BV20" s="58">
        <v>2686</v>
      </c>
      <c r="BW20" s="58">
        <v>5567</v>
      </c>
      <c r="BX20" s="124">
        <f t="shared" si="19"/>
        <v>1.2164020254959503E-2</v>
      </c>
      <c r="BY20" s="124">
        <f t="shared" si="20"/>
        <v>1.1147239305636719E-2</v>
      </c>
      <c r="BZ20" s="124">
        <f t="shared" si="25"/>
        <v>2.3103753244407898E-2</v>
      </c>
      <c r="CB20" s="145">
        <v>-1.8314385701378166E-2</v>
      </c>
      <c r="CC20" s="145">
        <v>8.1595063159942971E-3</v>
      </c>
      <c r="CD20" s="145">
        <v>2.3361293333512764E-2</v>
      </c>
      <c r="CE20" s="124">
        <v>-1.3243552628072955E-2</v>
      </c>
      <c r="CF20" s="146">
        <v>9.660644420555883E-3</v>
      </c>
      <c r="CG20" s="124">
        <f t="shared" si="26"/>
        <v>2.1205555339361502E-3</v>
      </c>
      <c r="CH20" s="146">
        <v>9.3780369290573207E-2</v>
      </c>
      <c r="CI20" s="124">
        <v>1.4668766621709817E-2</v>
      </c>
      <c r="CJ20" s="117">
        <v>1.1149408160225789</v>
      </c>
      <c r="CK20" s="145">
        <f t="shared" si="37"/>
        <v>0.11494081602257888</v>
      </c>
      <c r="CL20" s="120">
        <v>-134.65899999999999</v>
      </c>
      <c r="CM20" s="120">
        <v>258.08499999999998</v>
      </c>
      <c r="CN20" s="120">
        <v>259.66399999999999</v>
      </c>
      <c r="CO20" s="124"/>
      <c r="CP20" s="124"/>
      <c r="CQ20" s="124"/>
      <c r="CR20" s="124"/>
      <c r="CS20" s="124"/>
      <c r="CT20" s="124"/>
      <c r="CU20" s="124"/>
      <c r="CV20" s="124"/>
      <c r="CW20" s="124"/>
      <c r="CX20" s="124"/>
      <c r="CY20" s="124"/>
      <c r="CZ20" s="124"/>
      <c r="DA20" s="124"/>
      <c r="DB20" s="124"/>
      <c r="DH20" s="124"/>
      <c r="DI20" s="124"/>
      <c r="EK20" s="178" t="s">
        <v>405</v>
      </c>
      <c r="EL20" s="184">
        <v>1.3215708241384702E-2</v>
      </c>
      <c r="EM20" s="184">
        <v>6.7765932956877148E-3</v>
      </c>
      <c r="EN20" s="184">
        <v>-1.0980124139191237E-2</v>
      </c>
      <c r="EO20" s="184">
        <v>-6.2633268088271932E-3</v>
      </c>
      <c r="EP20" s="117"/>
    </row>
    <row r="21" spans="1:146" s="119" customFormat="1">
      <c r="A21" s="117">
        <v>1978</v>
      </c>
      <c r="B21" s="145">
        <v>0.25416060752948777</v>
      </c>
      <c r="C21" s="145">
        <f>AVERAGE(B5:B25)</f>
        <v>0.28799570750836662</v>
      </c>
      <c r="D21" s="145"/>
      <c r="E21" s="145"/>
      <c r="F21" s="145"/>
      <c r="G21" s="145"/>
      <c r="H21" s="120">
        <v>1197.5201852092703</v>
      </c>
      <c r="I21" s="120">
        <f t="shared" si="27"/>
        <v>185.73130968472242</v>
      </c>
      <c r="J21" s="280">
        <f t="shared" si="28"/>
        <v>9.1537076428256148E-2</v>
      </c>
      <c r="K21" s="223"/>
      <c r="L21" s="223">
        <f t="shared" si="39"/>
        <v>3.8322192141488499E-2</v>
      </c>
      <c r="M21" s="223"/>
      <c r="N21" s="223"/>
      <c r="O21" s="120">
        <v>672.17842008314062</v>
      </c>
      <c r="P21" s="203">
        <f t="shared" si="29"/>
        <v>1.0692552978337377</v>
      </c>
      <c r="Q21" s="160">
        <f t="shared" si="30"/>
        <v>9.1537076428256148E-2</v>
      </c>
      <c r="R21" s="160">
        <v>8.9183161309878134E-2</v>
      </c>
      <c r="S21" s="145">
        <f>AVERAGE(Q17:Q32)</f>
        <v>3.8322192141488499E-2</v>
      </c>
      <c r="T21" s="117">
        <v>112.60636251195012</v>
      </c>
      <c r="U21" s="117">
        <v>561.75300000000004</v>
      </c>
      <c r="V21" s="117"/>
      <c r="W21" s="119">
        <v>126.6</v>
      </c>
      <c r="X21" s="124">
        <f t="shared" si="40"/>
        <v>0</v>
      </c>
      <c r="Y21" s="119">
        <v>296141.47375463031</v>
      </c>
      <c r="Z21" s="117">
        <v>6905206.3791843159</v>
      </c>
      <c r="AA21" s="119">
        <v>0.45223780895123583</v>
      </c>
      <c r="AB21" s="119">
        <f t="shared" si="0"/>
        <v>1242.1628375184639</v>
      </c>
      <c r="AC21" s="119">
        <f t="shared" si="1"/>
        <v>2383710.4851979325</v>
      </c>
      <c r="AD21" s="119">
        <f t="shared" si="2"/>
        <v>0.34520481420853788</v>
      </c>
      <c r="AE21" s="119">
        <f t="shared" si="32"/>
        <v>2.1184555772926605E-2</v>
      </c>
      <c r="AF21" s="119">
        <f t="shared" si="3"/>
        <v>71117.929799999998</v>
      </c>
      <c r="AG21" s="145">
        <f t="shared" si="4"/>
        <v>0.24014849692726647</v>
      </c>
      <c r="AH21" s="119">
        <f t="shared" si="5"/>
        <v>0.24014849692726647</v>
      </c>
      <c r="AI21" s="120">
        <v>85.531841524212254</v>
      </c>
      <c r="AJ21" s="122">
        <f>+'Base_Budget Constraint'!T43/'Base_Budget Constraint'!$T$60</f>
        <v>0.85366985388571248</v>
      </c>
      <c r="AK21" s="119">
        <v>-4399.6000000000004</v>
      </c>
      <c r="AL21" s="119">
        <v>0.11020000000000001</v>
      </c>
      <c r="AM21" s="119">
        <v>18.48</v>
      </c>
      <c r="AN21" s="58">
        <f t="shared" si="6"/>
        <v>2.3395679999999999</v>
      </c>
      <c r="AO21" s="58">
        <f t="shared" si="7"/>
        <v>2.4497679999999997</v>
      </c>
      <c r="AP21" s="121">
        <f t="shared" si="33"/>
        <v>-4397.150232</v>
      </c>
      <c r="AQ21" s="125">
        <f t="shared" si="21"/>
        <v>-1.4848140573661369E-2</v>
      </c>
      <c r="AR21" s="119">
        <v>27.277000000000001</v>
      </c>
      <c r="AS21" s="119">
        <f t="shared" si="8"/>
        <v>60.31561152141802</v>
      </c>
      <c r="AT21" s="124">
        <f t="shared" si="9"/>
        <v>1.6762085324272921E-2</v>
      </c>
      <c r="AU21" s="119">
        <f t="shared" si="10"/>
        <v>3453.2682</v>
      </c>
      <c r="AV21" s="58">
        <v>879.4</v>
      </c>
      <c r="AW21" s="126">
        <f t="shared" si="34"/>
        <v>4332.6682000000001</v>
      </c>
      <c r="AX21" s="119">
        <v>4.3700151011724225E-2</v>
      </c>
      <c r="AY21" s="58">
        <f t="shared" si="35"/>
        <v>99145.382789125768</v>
      </c>
      <c r="AZ21" s="127">
        <f t="shared" si="22"/>
        <v>1.435806221346239E-2</v>
      </c>
      <c r="BA21" s="58">
        <f t="shared" si="11"/>
        <v>4.3700151011724229</v>
      </c>
      <c r="BB21" s="58"/>
      <c r="BC21" s="119">
        <f t="shared" si="12"/>
        <v>7852.8682000000008</v>
      </c>
      <c r="BD21" s="58"/>
      <c r="BE21" s="119">
        <v>162.9</v>
      </c>
      <c r="BF21" s="119">
        <v>-6438.3</v>
      </c>
      <c r="BG21" s="122">
        <v>44336</v>
      </c>
      <c r="BH21" s="119">
        <f t="shared" si="13"/>
        <v>0.14971222854362792</v>
      </c>
      <c r="BI21" s="119">
        <f t="shared" si="36"/>
        <v>1.1762029541630692E-2</v>
      </c>
      <c r="BJ21" s="119">
        <v>448.18799999999999</v>
      </c>
      <c r="BK21" s="124"/>
      <c r="BL21" s="119">
        <v>20158</v>
      </c>
      <c r="BM21" s="119">
        <f t="shared" si="23"/>
        <v>1.1202872994526041</v>
      </c>
      <c r="BN21" s="119">
        <f t="shared" si="14"/>
        <v>1.3570342205323196</v>
      </c>
      <c r="BO21" s="119">
        <v>1.112660440919327</v>
      </c>
      <c r="BP21" s="119">
        <f t="shared" si="15"/>
        <v>5.1088066754650122E-2</v>
      </c>
      <c r="BQ21" s="119">
        <f t="shared" si="16"/>
        <v>4.5642835908308456E-2</v>
      </c>
      <c r="BR21" s="119">
        <f t="shared" si="24"/>
        <v>3.4390772324159449E-2</v>
      </c>
      <c r="BS21" s="119">
        <f t="shared" si="17"/>
        <v>-1199.4438981838346</v>
      </c>
      <c r="BT21" s="124">
        <f t="shared" si="18"/>
        <v>-1.1219663858265868E-2</v>
      </c>
      <c r="BU21" s="58">
        <v>3003</v>
      </c>
      <c r="BV21" s="58">
        <v>2777</v>
      </c>
      <c r="BW21" s="58">
        <v>5751</v>
      </c>
      <c r="BX21" s="124">
        <f t="shared" si="19"/>
        <v>1.0140423635792914E-2</v>
      </c>
      <c r="BY21" s="124">
        <f t="shared" si="20"/>
        <v>9.3772748706616449E-3</v>
      </c>
      <c r="BZ21" s="124">
        <f t="shared" si="25"/>
        <v>1.9419772337477537E-2</v>
      </c>
      <c r="CB21" s="145">
        <v>2.1184555772926605E-2</v>
      </c>
      <c r="CC21" s="145">
        <v>1.1762029541630692E-2</v>
      </c>
      <c r="CD21" s="145">
        <v>3.2556980949628236E-2</v>
      </c>
      <c r="CE21" s="124">
        <v>-1.2177265994065498E-2</v>
      </c>
      <c r="CF21" s="146">
        <v>1.4848140573661369E-2</v>
      </c>
      <c r="CG21" s="124">
        <f t="shared" si="26"/>
        <v>4.6070606360316735E-2</v>
      </c>
      <c r="CH21" s="146">
        <v>0.16836961350510871</v>
      </c>
      <c r="CI21" s="124">
        <v>1.6762085324272921E-2</v>
      </c>
      <c r="CJ21" s="117">
        <v>1.1202872994526041</v>
      </c>
      <c r="CK21" s="145">
        <f t="shared" si="37"/>
        <v>0.12028729945260408</v>
      </c>
      <c r="CL21" s="120">
        <v>-118.63800000000001</v>
      </c>
      <c r="CM21" s="120">
        <v>383.82100000000003</v>
      </c>
      <c r="CN21" s="120">
        <v>439.02699999999999</v>
      </c>
      <c r="CO21" s="124"/>
      <c r="CP21" s="124"/>
      <c r="CQ21" s="124"/>
      <c r="CR21" s="124"/>
      <c r="CS21" s="124"/>
      <c r="CT21" s="124"/>
      <c r="CU21" s="124"/>
      <c r="CV21" s="124"/>
      <c r="CW21" s="124"/>
      <c r="CX21" s="124"/>
      <c r="CY21" s="124"/>
      <c r="CZ21" s="124"/>
      <c r="DA21" s="124"/>
      <c r="DB21" s="124"/>
      <c r="DH21" s="124"/>
      <c r="DI21" s="124"/>
      <c r="EK21" s="178" t="s">
        <v>404</v>
      </c>
      <c r="EL21" s="184">
        <v>4.5122344911136788E-3</v>
      </c>
      <c r="EM21" s="184">
        <v>-2.3358038647703448E-3</v>
      </c>
      <c r="EN21" s="184">
        <v>-7.8441294219388656E-4</v>
      </c>
      <c r="EO21" s="184">
        <v>2.1896503070858138E-3</v>
      </c>
      <c r="EP21" s="117"/>
    </row>
    <row r="22" spans="1:146" s="119" customFormat="1">
      <c r="A22" s="117">
        <v>1979</v>
      </c>
      <c r="B22" s="145">
        <v>0.18294254058232418</v>
      </c>
      <c r="C22" s="145">
        <f>AVERAGE(B5:B25)</f>
        <v>0.28799570750836662</v>
      </c>
      <c r="D22" s="145"/>
      <c r="E22" s="145"/>
      <c r="F22" s="145"/>
      <c r="G22" s="145"/>
      <c r="H22" s="120">
        <v>1304.3188210586238</v>
      </c>
      <c r="I22" s="120">
        <f t="shared" si="27"/>
        <v>202.29541503662998</v>
      </c>
      <c r="J22" s="280">
        <f t="shared" si="28"/>
        <v>8.9183161309878134E-2</v>
      </c>
      <c r="K22" s="223"/>
      <c r="L22" s="223">
        <f t="shared" si="39"/>
        <v>3.8322192141488499E-2</v>
      </c>
      <c r="M22" s="223"/>
      <c r="N22" s="223"/>
      <c r="O22" s="120">
        <v>717.18038464334029</v>
      </c>
      <c r="P22" s="203">
        <f t="shared" si="29"/>
        <v>1.0669494336855287</v>
      </c>
      <c r="Q22" s="160">
        <f t="shared" si="30"/>
        <v>8.9183161309878134E-2</v>
      </c>
      <c r="R22" s="160">
        <v>8.6758576667723464E-2</v>
      </c>
      <c r="S22" s="145">
        <f>AVERAGE(Q17:Q32)</f>
        <v>3.8322192141488499E-2</v>
      </c>
      <c r="T22" s="117">
        <v>120.14529471151253</v>
      </c>
      <c r="U22" s="117">
        <v>573.96799999999996</v>
      </c>
      <c r="V22" s="117"/>
      <c r="W22" s="119">
        <v>126.6</v>
      </c>
      <c r="X22" s="124">
        <f t="shared" si="40"/>
        <v>0</v>
      </c>
      <c r="Y22" s="119">
        <v>395025.60881821497</v>
      </c>
      <c r="Z22" s="117">
        <v>7724312.1086387523</v>
      </c>
      <c r="AA22" s="119">
        <v>0.51235804943219776</v>
      </c>
      <c r="AB22" s="119">
        <f t="shared" si="0"/>
        <v>1120.247843546284</v>
      </c>
      <c r="AC22" s="119">
        <f t="shared" si="1"/>
        <v>2149755.611765319</v>
      </c>
      <c r="AD22" s="119">
        <f t="shared" si="2"/>
        <v>0.27831029890170611</v>
      </c>
      <c r="AE22" s="119">
        <f t="shared" si="32"/>
        <v>-6.689451530683177E-2</v>
      </c>
      <c r="AF22" s="119">
        <f t="shared" si="3"/>
        <v>72664.348799999992</v>
      </c>
      <c r="AG22" s="145">
        <f t="shared" si="4"/>
        <v>0.18394845087989997</v>
      </c>
      <c r="AH22" s="119">
        <f t="shared" si="5"/>
        <v>0.18394845087989997</v>
      </c>
      <c r="AI22" s="120">
        <v>83.341167302492963</v>
      </c>
      <c r="AJ22" s="122">
        <f>+'Base_Budget Constraint'!T44/'Base_Budget Constraint'!$T$60</f>
        <v>0.69898363017406828</v>
      </c>
      <c r="AK22" s="119">
        <v>6395</v>
      </c>
      <c r="AL22" s="58"/>
      <c r="AM22" s="119">
        <v>25.64</v>
      </c>
      <c r="AN22" s="58">
        <f t="shared" si="6"/>
        <v>3.2460239999999998</v>
      </c>
      <c r="AO22" s="58">
        <f t="shared" si="7"/>
        <v>3.2460239999999998</v>
      </c>
      <c r="AP22" s="121">
        <f t="shared" si="33"/>
        <v>6398.246024</v>
      </c>
      <c r="AQ22" s="125">
        <f t="shared" si="21"/>
        <v>1.6197041106123272E-2</v>
      </c>
      <c r="AR22" s="119">
        <v>33.656999999999996</v>
      </c>
      <c r="AS22" s="119">
        <f t="shared" si="8"/>
        <v>65.690389830508465</v>
      </c>
      <c r="AT22" s="124">
        <f t="shared" si="9"/>
        <v>1.6319881474463251E-2</v>
      </c>
      <c r="AU22" s="119">
        <f t="shared" si="10"/>
        <v>4260.9761999999992</v>
      </c>
      <c r="AV22" s="58"/>
      <c r="AW22" s="126">
        <f t="shared" si="34"/>
        <v>4260.9761999999992</v>
      </c>
      <c r="AX22" s="119">
        <v>5.6008076286312818E-2</v>
      </c>
      <c r="AY22" s="58">
        <f t="shared" si="35"/>
        <v>76077.888806927134</v>
      </c>
      <c r="AZ22" s="127">
        <f t="shared" si="22"/>
        <v>9.84914743694041E-3</v>
      </c>
      <c r="BA22" s="58">
        <f t="shared" si="11"/>
        <v>5.6008076286312818</v>
      </c>
      <c r="BB22" s="58"/>
      <c r="BC22" s="119">
        <f t="shared" si="12"/>
        <v>-2134.0238000000008</v>
      </c>
      <c r="BD22" s="58"/>
      <c r="BG22" s="122">
        <v>52650</v>
      </c>
      <c r="BH22" s="119">
        <f t="shared" si="13"/>
        <v>0.1332824982094484</v>
      </c>
      <c r="BI22" s="119">
        <f t="shared" si="36"/>
        <v>-1.6429730334179521E-2</v>
      </c>
      <c r="BJ22" s="119">
        <v>612.87400000000002</v>
      </c>
      <c r="BK22" s="124"/>
      <c r="BL22" s="119">
        <v>26423</v>
      </c>
      <c r="BM22" s="119">
        <f t="shared" si="23"/>
        <v>1.1186214697251662</v>
      </c>
      <c r="BN22" s="119">
        <f t="shared" si="14"/>
        <v>1.150172552263051</v>
      </c>
      <c r="BO22" s="119">
        <v>1.135093703292916</v>
      </c>
      <c r="BP22" s="119">
        <f t="shared" si="15"/>
        <v>2.9551219734806088E-2</v>
      </c>
      <c r="BQ22" s="119">
        <f t="shared" si="16"/>
        <v>5.7328980012823022E-2</v>
      </c>
      <c r="BR22" s="119">
        <f t="shared" si="24"/>
        <v>3.5994861878823503E-2</v>
      </c>
      <c r="BS22" s="119">
        <f t="shared" si="17"/>
        <v>-1079.9246771477856</v>
      </c>
      <c r="BT22" s="124">
        <f t="shared" si="18"/>
        <v>-8.3792283327375934E-3</v>
      </c>
      <c r="BU22" s="58">
        <v>4426</v>
      </c>
      <c r="BV22" s="58">
        <v>2949</v>
      </c>
      <c r="BW22" s="58">
        <v>7180</v>
      </c>
      <c r="BX22" s="124">
        <f t="shared" si="19"/>
        <v>1.1204336886515074E-2</v>
      </c>
      <c r="BY22" s="124">
        <f t="shared" si="20"/>
        <v>7.4653387885975937E-3</v>
      </c>
      <c r="BZ22" s="124">
        <f t="shared" si="25"/>
        <v>1.8176036792855451E-2</v>
      </c>
      <c r="CB22" s="145">
        <v>-6.689451530683177E-2</v>
      </c>
      <c r="CC22" s="145">
        <v>-1.6429730334179521E-2</v>
      </c>
      <c r="CD22" s="145">
        <v>5.1088066754650122E-2</v>
      </c>
      <c r="CE22" s="124">
        <v>-1.1219663858265868E-2</v>
      </c>
      <c r="CF22" s="146">
        <v>-1.6197041106123272E-2</v>
      </c>
      <c r="CG22" s="124">
        <f t="shared" si="26"/>
        <v>-2.1139355396435279E-2</v>
      </c>
      <c r="CH22" s="146">
        <v>0.35703422053231959</v>
      </c>
      <c r="CI22" s="124">
        <v>1.6319881474463251E-2</v>
      </c>
      <c r="CJ22" s="117">
        <v>1.1186214697251662</v>
      </c>
      <c r="CK22" s="145">
        <f t="shared" si="37"/>
        <v>0.11862146972516618</v>
      </c>
      <c r="CL22" s="120">
        <v>-213.37200000000001</v>
      </c>
      <c r="CM22" s="120">
        <v>353.51099999999997</v>
      </c>
      <c r="CN22" s="120">
        <v>595.45000000000005</v>
      </c>
      <c r="CO22" s="124"/>
      <c r="CP22" s="124"/>
      <c r="CQ22" s="124"/>
      <c r="CR22" s="124"/>
      <c r="CS22" s="124"/>
      <c r="CT22" s="124"/>
      <c r="CU22" s="124"/>
      <c r="CV22" s="124"/>
      <c r="CW22" s="124"/>
      <c r="CX22" s="124"/>
      <c r="CY22" s="124"/>
      <c r="CZ22" s="124"/>
      <c r="DA22" s="124"/>
      <c r="DB22" s="124"/>
      <c r="DH22" s="124"/>
      <c r="DI22" s="124"/>
      <c r="EK22" s="179" t="s">
        <v>401</v>
      </c>
      <c r="EL22" s="185">
        <v>9.109908517944125E-3</v>
      </c>
      <c r="EM22" s="185">
        <v>2.5192620409144842E-2</v>
      </c>
      <c r="EN22" s="185">
        <v>1.1304266797062146E-2</v>
      </c>
      <c r="EO22" s="185">
        <v>9.7582820464023889E-3</v>
      </c>
      <c r="EP22" s="117"/>
    </row>
    <row r="23" spans="1:146" s="119" customFormat="1" ht="15" thickBot="1">
      <c r="A23" s="117">
        <v>1980</v>
      </c>
      <c r="B23" s="145">
        <v>0.14844260509692875</v>
      </c>
      <c r="C23" s="145">
        <f>AVERAGE(B5:B25)</f>
        <v>0.28799570750836662</v>
      </c>
      <c r="D23" s="145"/>
      <c r="E23" s="145"/>
      <c r="F23" s="145"/>
      <c r="G23" s="145"/>
      <c r="H23" s="120">
        <v>1417.4796654945931</v>
      </c>
      <c r="I23" s="120">
        <f t="shared" si="27"/>
        <v>219.84627731161436</v>
      </c>
      <c r="J23" s="280">
        <f t="shared" si="28"/>
        <v>8.6758576667723464E-2</v>
      </c>
      <c r="K23" s="223"/>
      <c r="L23" s="223">
        <f t="shared" si="39"/>
        <v>3.8322192141488499E-2</v>
      </c>
      <c r="M23" s="223"/>
      <c r="N23" s="223"/>
      <c r="O23" s="120">
        <v>763.49183651129283</v>
      </c>
      <c r="P23" s="203">
        <f t="shared" si="29"/>
        <v>1.0645743426055687</v>
      </c>
      <c r="Q23" s="160">
        <f t="shared" si="30"/>
        <v>8.6758576667723464E-2</v>
      </c>
      <c r="R23" s="160">
        <v>6.0829016064217756E-2</v>
      </c>
      <c r="S23" s="145">
        <f>AVERAGE(Q17:Q32)</f>
        <v>3.8322192141488499E-2</v>
      </c>
      <c r="T23" s="117">
        <v>127.90359813466077</v>
      </c>
      <c r="U23" s="117">
        <v>690.64</v>
      </c>
      <c r="V23" s="117"/>
      <c r="W23" s="119">
        <v>126.6</v>
      </c>
      <c r="X23" s="124">
        <f t="shared" si="40"/>
        <v>0</v>
      </c>
      <c r="Y23" s="119">
        <v>515946.12150783779</v>
      </c>
      <c r="Z23" s="117">
        <v>8628994.8158898093</v>
      </c>
      <c r="AA23" s="119">
        <v>0.57648630594522388</v>
      </c>
      <c r="AB23" s="119">
        <f t="shared" si="0"/>
        <v>1198.0163151796057</v>
      </c>
      <c r="AC23" s="119">
        <f t="shared" si="1"/>
        <v>2298993.3088296633</v>
      </c>
      <c r="AD23" s="119">
        <f t="shared" si="2"/>
        <v>0.26642654884856304</v>
      </c>
      <c r="AE23" s="119">
        <f t="shared" si="32"/>
        <v>-1.1883750053143072E-2</v>
      </c>
      <c r="AF23" s="119">
        <f t="shared" si="3"/>
        <v>87435.02399999999</v>
      </c>
      <c r="AG23" s="145">
        <f t="shared" si="4"/>
        <v>0.1694654157772785</v>
      </c>
      <c r="AH23" s="119">
        <f t="shared" si="5"/>
        <v>0.1694654157772785</v>
      </c>
      <c r="AI23" s="120">
        <v>72.253638145547441</v>
      </c>
      <c r="AJ23" s="122">
        <f>+'Base_Budget Constraint'!T45/'Base_Budget Constraint'!$T$60</f>
        <v>0.68952921788071575</v>
      </c>
      <c r="AK23" s="119">
        <v>2017.6523999999956</v>
      </c>
      <c r="AL23" s="58">
        <v>59</v>
      </c>
      <c r="AM23" s="119">
        <v>32.905000000000001</v>
      </c>
      <c r="AN23" s="58">
        <f t="shared" si="6"/>
        <v>4.1657729999999997</v>
      </c>
      <c r="AO23" s="58">
        <f t="shared" si="7"/>
        <v>63.165773000000002</v>
      </c>
      <c r="AP23" s="121">
        <f t="shared" si="33"/>
        <v>2080.8181729999956</v>
      </c>
      <c r="AQ23" s="125">
        <f t="shared" si="21"/>
        <v>4.0330144684853214E-3</v>
      </c>
      <c r="AR23" s="119">
        <v>39.768999999999998</v>
      </c>
      <c r="AS23" s="119">
        <f t="shared" si="8"/>
        <v>68.985159907300101</v>
      </c>
      <c r="AT23" s="124">
        <f t="shared" si="9"/>
        <v>1.5341592466637473E-2</v>
      </c>
      <c r="AU23" s="119">
        <f t="shared" si="10"/>
        <v>5034.7554</v>
      </c>
      <c r="AV23" s="58">
        <v>828</v>
      </c>
      <c r="AW23" s="126">
        <f t="shared" si="34"/>
        <v>5862.7554</v>
      </c>
      <c r="AX23" s="119">
        <v>6.8578546491363385E-2</v>
      </c>
      <c r="AY23" s="58">
        <f t="shared" si="35"/>
        <v>85489.642168755221</v>
      </c>
      <c r="AZ23" s="127">
        <f t="shared" si="22"/>
        <v>9.9072538566520926E-3</v>
      </c>
      <c r="BA23" s="58">
        <f t="shared" si="11"/>
        <v>6.8578546491363381</v>
      </c>
      <c r="BB23" s="58"/>
      <c r="BC23" s="119">
        <f t="shared" si="12"/>
        <v>3017.1030000000046</v>
      </c>
      <c r="BD23" s="58"/>
      <c r="BE23" s="119">
        <v>-1524.0330000000031</v>
      </c>
      <c r="BF23" s="119">
        <v>-582</v>
      </c>
      <c r="BG23" s="122">
        <v>66508</v>
      </c>
      <c r="BH23" s="119">
        <f t="shared" si="13"/>
        <v>0.12890493256472646</v>
      </c>
      <c r="BI23" s="119">
        <f t="shared" si="36"/>
        <v>-4.3775656447219424E-3</v>
      </c>
      <c r="BJ23" s="119">
        <v>766.47799999999995</v>
      </c>
      <c r="BK23" s="124"/>
      <c r="BL23" s="119">
        <v>33712</v>
      </c>
      <c r="BM23" s="119">
        <f t="shared" si="23"/>
        <v>1.1171214594292835</v>
      </c>
      <c r="BN23" s="119">
        <f t="shared" si="14"/>
        <v>1.0811808118081181</v>
      </c>
      <c r="BO23" s="119">
        <v>1.1031553398058249</v>
      </c>
      <c r="BP23" s="119">
        <f t="shared" si="15"/>
        <v>1.9694011254774515E-2</v>
      </c>
      <c r="BQ23" s="119">
        <f t="shared" si="16"/>
        <v>4.9428066720722807E-2</v>
      </c>
      <c r="BR23" s="119">
        <f t="shared" si="24"/>
        <v>4.7602790030983118E-2</v>
      </c>
      <c r="BS23" s="119">
        <f t="shared" si="17"/>
        <v>-1140.9873960744189</v>
      </c>
      <c r="BT23" s="124">
        <f t="shared" si="18"/>
        <v>-7.7739686718426128E-3</v>
      </c>
      <c r="BU23" s="58">
        <v>4145</v>
      </c>
      <c r="BV23" s="58">
        <v>7362</v>
      </c>
      <c r="BW23" s="58">
        <v>11507</v>
      </c>
      <c r="BX23" s="124">
        <f t="shared" si="19"/>
        <v>8.0337845895349612E-3</v>
      </c>
      <c r="BY23" s="124">
        <f t="shared" si="20"/>
        <v>1.4268931760713241E-2</v>
      </c>
      <c r="BZ23" s="124">
        <f t="shared" si="25"/>
        <v>2.2302716350248202E-2</v>
      </c>
      <c r="CB23" s="145">
        <v>-1.1883750053143072E-2</v>
      </c>
      <c r="CC23" s="145">
        <v>-4.3775656447219424E-3</v>
      </c>
      <c r="CD23" s="145">
        <v>2.9551219734806088E-2</v>
      </c>
      <c r="CE23" s="124">
        <v>-8.3792283327375934E-3</v>
      </c>
      <c r="CF23" s="146">
        <v>-4.0330144684853214E-3</v>
      </c>
      <c r="CG23" s="124">
        <f t="shared" si="26"/>
        <v>1.0360554371526515E-2</v>
      </c>
      <c r="CH23" s="146">
        <v>0.15017255226305104</v>
      </c>
      <c r="CI23" s="124">
        <v>1.5341592466637473E-2</v>
      </c>
      <c r="CJ23" s="117">
        <v>1.1171214594292835</v>
      </c>
      <c r="CK23" s="145">
        <f t="shared" si="37"/>
        <v>0.11712145942928354</v>
      </c>
      <c r="CL23" s="120">
        <v>-286.714</v>
      </c>
      <c r="CM23" s="120">
        <v>463.69900000000001</v>
      </c>
      <c r="CN23" s="120">
        <v>748.65</v>
      </c>
      <c r="CO23" s="124"/>
      <c r="CP23" s="124"/>
      <c r="CQ23" s="124"/>
      <c r="CR23" s="124"/>
      <c r="CS23" s="124"/>
      <c r="CT23" s="124"/>
      <c r="CU23" s="124"/>
      <c r="CV23" s="124"/>
      <c r="CW23" s="124"/>
      <c r="CX23" s="124"/>
      <c r="CY23" s="124"/>
      <c r="CZ23" s="124"/>
      <c r="DA23" s="124"/>
      <c r="DB23" s="124"/>
      <c r="DH23" s="124"/>
      <c r="DI23" s="124"/>
      <c r="EK23" s="187" t="s">
        <v>233</v>
      </c>
      <c r="EL23" s="188">
        <f>SUM(EL20:EL22)</f>
        <v>2.6837851250442506E-2</v>
      </c>
      <c r="EM23" s="188">
        <f>SUM(EM20:EM22)</f>
        <v>2.9633409840062214E-2</v>
      </c>
      <c r="EN23" s="188">
        <f>SUM(EN20:EN22)</f>
        <v>-4.6027028432297883E-4</v>
      </c>
      <c r="EO23" s="188">
        <f>SUM(EO20:EO22)</f>
        <v>5.6846055446610096E-3</v>
      </c>
      <c r="EP23" s="117"/>
    </row>
    <row r="24" spans="1:146" s="119" customFormat="1">
      <c r="A24" s="117">
        <v>1981</v>
      </c>
      <c r="B24" s="145">
        <v>3.7363679468942701E-2</v>
      </c>
      <c r="C24" s="145">
        <f>AVERAGE(B5:B25)</f>
        <v>0.28799570750836662</v>
      </c>
      <c r="D24" s="145"/>
      <c r="E24" s="145"/>
      <c r="F24" s="145"/>
      <c r="G24" s="145"/>
      <c r="H24" s="120">
        <v>1503.7035588376657</v>
      </c>
      <c r="I24" s="120">
        <f t="shared" si="27"/>
        <v>233.21931004586099</v>
      </c>
      <c r="J24" s="280">
        <f t="shared" si="28"/>
        <v>6.0829016064217756E-2</v>
      </c>
      <c r="K24" s="223"/>
      <c r="L24" s="223">
        <f t="shared" si="39"/>
        <v>3.8322192141488499E-2</v>
      </c>
      <c r="M24" s="223"/>
      <c r="N24" s="223"/>
      <c r="O24" s="120">
        <v>793.40093262710559</v>
      </c>
      <c r="P24" s="203">
        <f t="shared" si="29"/>
        <v>1.0391740876398623</v>
      </c>
      <c r="Q24" s="160">
        <f t="shared" si="30"/>
        <v>6.0829016064217756E-2</v>
      </c>
      <c r="R24" s="160">
        <v>-4.266560981072931E-2</v>
      </c>
      <c r="S24" s="145">
        <f>AVERAGE(Q17:Q32)</f>
        <v>3.8322192141488499E-2</v>
      </c>
      <c r="T24" s="117">
        <v>132.91410489744169</v>
      </c>
      <c r="U24" s="117">
        <v>713.755</v>
      </c>
      <c r="V24" s="117"/>
      <c r="W24" s="119">
        <v>126.6</v>
      </c>
      <c r="X24" s="124">
        <f t="shared" si="40"/>
        <v>0</v>
      </c>
      <c r="Y24" s="119">
        <v>657659.11807549722</v>
      </c>
      <c r="Z24" s="117">
        <v>9420313.2346182</v>
      </c>
      <c r="AA24" s="119">
        <v>0.62792251169004676</v>
      </c>
      <c r="AB24" s="119">
        <f t="shared" si="0"/>
        <v>1136.6928031914892</v>
      </c>
      <c r="AC24" s="119">
        <f t="shared" si="1"/>
        <v>2181313.4893244677</v>
      </c>
      <c r="AD24" s="119">
        <f t="shared" si="2"/>
        <v>0.2315542418810955</v>
      </c>
      <c r="AE24" s="119">
        <f t="shared" si="32"/>
        <v>-3.4872306967467542E-2</v>
      </c>
      <c r="AF24" s="119">
        <f t="shared" si="3"/>
        <v>90361.383000000002</v>
      </c>
      <c r="AG24" s="145">
        <f t="shared" si="4"/>
        <v>0.13739851013458737</v>
      </c>
      <c r="AH24" s="119">
        <f t="shared" si="5"/>
        <v>0.13739851013458737</v>
      </c>
      <c r="AI24" s="120">
        <v>66.953111984915779</v>
      </c>
      <c r="AJ24" s="122">
        <f>+'Base_Budget Constraint'!T46/'Base_Budget Constraint'!$T$60</f>
        <v>0.69675458627999487</v>
      </c>
      <c r="AK24" s="119">
        <v>-19063.734100000009</v>
      </c>
      <c r="AL24" s="58">
        <v>107</v>
      </c>
      <c r="AM24" s="119">
        <v>34.137</v>
      </c>
      <c r="AN24" s="58">
        <f t="shared" si="6"/>
        <v>4.3217442000000004</v>
      </c>
      <c r="AO24" s="58">
        <f t="shared" si="7"/>
        <v>111.3217442</v>
      </c>
      <c r="AP24" s="121">
        <f t="shared" si="33"/>
        <v>-18952.41235580001</v>
      </c>
      <c r="AQ24" s="125">
        <f t="shared" si="21"/>
        <v>-2.8817987670056652E-2</v>
      </c>
      <c r="AR24" s="119">
        <v>44.375</v>
      </c>
      <c r="AS24" s="119">
        <f t="shared" si="8"/>
        <v>70.669547872340431</v>
      </c>
      <c r="AT24" s="124">
        <f t="shared" si="9"/>
        <v>1.4396003507469111E-2</v>
      </c>
      <c r="AU24" s="119">
        <f t="shared" si="10"/>
        <v>5617.875</v>
      </c>
      <c r="AV24" s="58">
        <v>1643</v>
      </c>
      <c r="AW24" s="126">
        <f t="shared" si="34"/>
        <v>7260.875</v>
      </c>
      <c r="AX24" s="119">
        <v>7.815508739450662E-2</v>
      </c>
      <c r="AY24" s="58">
        <f t="shared" si="35"/>
        <v>92903.421159891805</v>
      </c>
      <c r="AZ24" s="127">
        <f t="shared" si="22"/>
        <v>9.8620310011015393E-3</v>
      </c>
      <c r="BA24" s="58">
        <f t="shared" si="11"/>
        <v>7.8155087394506619</v>
      </c>
      <c r="BB24" s="58"/>
      <c r="BC24" s="119">
        <f t="shared" si="12"/>
        <v>24681.609100000009</v>
      </c>
      <c r="BD24" s="58"/>
      <c r="BE24" s="119">
        <v>-17371.2</v>
      </c>
      <c r="BF24" s="119">
        <v>-1968</v>
      </c>
      <c r="BG24" s="122">
        <v>78790</v>
      </c>
      <c r="BH24" s="119">
        <f t="shared" si="13"/>
        <v>0.11980370656239446</v>
      </c>
      <c r="BI24" s="119">
        <f t="shared" si="36"/>
        <v>-9.1012260023319996E-3</v>
      </c>
      <c r="BJ24" s="119">
        <v>810.00400000000002</v>
      </c>
      <c r="BK24" s="124"/>
      <c r="BL24" s="119">
        <v>34369</v>
      </c>
      <c r="BM24" s="119">
        <f t="shared" si="23"/>
        <v>1.091704588496359</v>
      </c>
      <c r="BN24" s="119">
        <f t="shared" si="14"/>
        <v>1.0887372013651877</v>
      </c>
      <c r="BO24" s="119">
        <v>1.0616061606160625</v>
      </c>
      <c r="BP24" s="119">
        <f t="shared" si="15"/>
        <v>8.2048398921169309E-3</v>
      </c>
      <c r="BQ24" s="119">
        <f t="shared" si="16"/>
        <v>5.8209049323647469E-2</v>
      </c>
      <c r="BR24" s="119">
        <f t="shared" si="24"/>
        <v>4.7219652455916153E-2</v>
      </c>
      <c r="BS24" s="119">
        <f t="shared" si="17"/>
        <v>-1083.0185640756461</v>
      </c>
      <c r="BT24" s="124">
        <f t="shared" si="18"/>
        <v>-7.2897379856823215E-3</v>
      </c>
      <c r="BU24" s="58">
        <v>4187</v>
      </c>
      <c r="BV24" s="58">
        <v>7494</v>
      </c>
      <c r="BW24" s="58">
        <v>11681</v>
      </c>
      <c r="BX24" s="124">
        <f t="shared" si="19"/>
        <v>6.3665201088557635E-3</v>
      </c>
      <c r="BY24" s="124">
        <f t="shared" si="20"/>
        <v>1.1394960997316716E-2</v>
      </c>
      <c r="BZ24" s="124">
        <f t="shared" si="25"/>
        <v>1.776148110617248E-2</v>
      </c>
      <c r="CB24" s="145">
        <v>-3.4872306967467542E-2</v>
      </c>
      <c r="CC24" s="145">
        <v>-9.1012260023319996E-3</v>
      </c>
      <c r="CD24" s="145">
        <v>1.9694011254774515E-2</v>
      </c>
      <c r="CE24" s="124">
        <v>-7.7739686718426128E-3</v>
      </c>
      <c r="CF24" s="146">
        <v>2.8817987670056652E-2</v>
      </c>
      <c r="CG24" s="124">
        <f t="shared" si="26"/>
        <v>-5.9719544220708173E-2</v>
      </c>
      <c r="CH24" s="146">
        <v>8.1180811808118092E-2</v>
      </c>
      <c r="CI24" s="124">
        <v>1.4396003507469111E-2</v>
      </c>
      <c r="CJ24" s="117">
        <v>1.091704588496359</v>
      </c>
      <c r="CK24" s="145">
        <f t="shared" si="37"/>
        <v>9.1704588496358985E-2</v>
      </c>
      <c r="CL24" s="120">
        <v>-380.27699999999999</v>
      </c>
      <c r="CM24" s="120">
        <v>432.64699999999999</v>
      </c>
      <c r="CN24" s="120">
        <v>780.35199999999998</v>
      </c>
      <c r="CO24" s="124"/>
      <c r="CP24" s="124"/>
      <c r="CQ24" s="124"/>
      <c r="CR24" s="124"/>
      <c r="CS24" s="124"/>
      <c r="CT24" s="124"/>
      <c r="CU24" s="124"/>
      <c r="CV24" s="124"/>
      <c r="CW24" s="124"/>
      <c r="CX24" s="124"/>
      <c r="CY24" s="124"/>
      <c r="CZ24" s="124"/>
      <c r="DA24" s="124"/>
      <c r="DB24" s="124"/>
      <c r="DH24" s="124"/>
      <c r="DI24" s="124"/>
      <c r="EK24" s="178"/>
      <c r="EL24" s="184"/>
      <c r="EM24" s="184"/>
      <c r="EN24" s="184"/>
      <c r="EO24" s="184"/>
      <c r="EP24" s="117"/>
    </row>
    <row r="25" spans="1:146" s="119" customFormat="1">
      <c r="A25" s="117">
        <v>1982</v>
      </c>
      <c r="B25" s="145">
        <v>8.6113904378828154E-2</v>
      </c>
      <c r="C25" s="145">
        <f>AVERAGE(B5:B25)</f>
        <v>0.28799570750836662</v>
      </c>
      <c r="D25" s="145"/>
      <c r="E25" s="145"/>
      <c r="F25" s="145"/>
      <c r="G25" s="145"/>
      <c r="H25" s="120">
        <v>1439.5471295252928</v>
      </c>
      <c r="I25" s="120">
        <f t="shared" si="27"/>
        <v>223.26886596311678</v>
      </c>
      <c r="J25" s="280">
        <f t="shared" si="28"/>
        <v>-4.266560981072931E-2</v>
      </c>
      <c r="K25" s="223"/>
      <c r="L25" s="223">
        <f t="shared" si="39"/>
        <v>3.8322192141488499E-2</v>
      </c>
      <c r="M25" s="223"/>
      <c r="N25" s="223"/>
      <c r="O25" s="120">
        <v>744.04514228839128</v>
      </c>
      <c r="P25" s="203">
        <f t="shared" si="29"/>
        <v>0.93779211958412045</v>
      </c>
      <c r="Q25" s="160">
        <f t="shared" si="30"/>
        <v>-4.266560981072931E-2</v>
      </c>
      <c r="R25" s="160">
        <v>-5.8886918458683435E-2</v>
      </c>
      <c r="S25" s="145">
        <f>AVERAGE(Q17:Q32)</f>
        <v>3.8322192141488499E-2</v>
      </c>
      <c r="T25" s="117">
        <v>124.64580015439796</v>
      </c>
      <c r="U25" s="117">
        <v>941.42200000000003</v>
      </c>
      <c r="V25" s="117"/>
      <c r="W25" s="119">
        <v>126.6</v>
      </c>
      <c r="X25" s="124">
        <f t="shared" si="40"/>
        <v>0</v>
      </c>
      <c r="Y25" s="119">
        <v>689173.20032844727</v>
      </c>
      <c r="Z25" s="117">
        <v>9288653.2678140849</v>
      </c>
      <c r="AA25" s="119">
        <v>0.65197060788243144</v>
      </c>
      <c r="AB25" s="119">
        <f t="shared" si="0"/>
        <v>1443.963866803279</v>
      </c>
      <c r="AC25" s="119">
        <f t="shared" si="1"/>
        <v>2770966.6603954923</v>
      </c>
      <c r="AD25" s="119">
        <f t="shared" si="2"/>
        <v>0.29831737502756295</v>
      </c>
      <c r="AE25" s="119">
        <f t="shared" si="32"/>
        <v>6.6763133146467452E-2</v>
      </c>
      <c r="AF25" s="119">
        <f t="shared" si="3"/>
        <v>119184.0252</v>
      </c>
      <c r="AG25" s="145">
        <f t="shared" si="4"/>
        <v>0.17293769569565254</v>
      </c>
      <c r="AH25" s="119">
        <f t="shared" si="5"/>
        <v>0.17293769569565254</v>
      </c>
      <c r="AI25" s="120">
        <v>64.184074440108645</v>
      </c>
      <c r="AJ25" s="122">
        <f>+'Base_Budget Constraint'!T47/'Base_Budget Constraint'!$T$60</f>
        <v>0.6655910673142913</v>
      </c>
      <c r="AK25" s="119">
        <v>-7001.880000000001</v>
      </c>
      <c r="AL25" s="58">
        <v>86</v>
      </c>
      <c r="AM25" s="119">
        <v>41.546999999999997</v>
      </c>
      <c r="AN25" s="58">
        <f t="shared" si="6"/>
        <v>5.2598501999999989</v>
      </c>
      <c r="AO25" s="58">
        <f t="shared" si="7"/>
        <v>91.259850200000002</v>
      </c>
      <c r="AP25" s="121">
        <f t="shared" si="33"/>
        <v>-6910.6201498000009</v>
      </c>
      <c r="AQ25" s="125">
        <f t="shared" si="21"/>
        <v>-1.0027406966066769E-2</v>
      </c>
      <c r="AR25" s="119">
        <v>44.277000000000001</v>
      </c>
      <c r="AS25" s="119">
        <f t="shared" si="8"/>
        <v>67.912570696721318</v>
      </c>
      <c r="AT25" s="124">
        <f t="shared" si="9"/>
        <v>1.4030475614650394E-2</v>
      </c>
      <c r="AU25" s="119">
        <f t="shared" si="10"/>
        <v>5605.4682000000003</v>
      </c>
      <c r="AV25" s="58">
        <v>500</v>
      </c>
      <c r="AW25" s="126">
        <f t="shared" si="34"/>
        <v>6105.4682000000003</v>
      </c>
      <c r="AX25" s="119">
        <v>8.3446183382758776E-2</v>
      </c>
      <c r="AY25" s="58">
        <f t="shared" si="35"/>
        <v>73166.536233237493</v>
      </c>
      <c r="AZ25" s="127">
        <f t="shared" si="22"/>
        <v>7.8769800232252503E-3</v>
      </c>
      <c r="BA25" s="58">
        <f t="shared" si="11"/>
        <v>8.3446183382758772</v>
      </c>
      <c r="BB25" s="58"/>
      <c r="BC25" s="119">
        <f t="shared" si="12"/>
        <v>12607.3482</v>
      </c>
      <c r="BD25" s="58"/>
      <c r="BE25" s="119">
        <v>-6046.0999999999913</v>
      </c>
      <c r="BF25" s="119">
        <v>-5542</v>
      </c>
      <c r="BG25" s="122">
        <v>77075</v>
      </c>
      <c r="BH25" s="119">
        <f t="shared" si="13"/>
        <v>0.11183690828846431</v>
      </c>
      <c r="BI25" s="119">
        <f t="shared" si="36"/>
        <v>-7.9667982739301535E-3</v>
      </c>
      <c r="BJ25" s="119">
        <v>686.82899999999995</v>
      </c>
      <c r="BK25" s="124"/>
      <c r="BL25" s="119">
        <v>36131</v>
      </c>
      <c r="BM25" s="119">
        <f t="shared" si="23"/>
        <v>0.98602382282573309</v>
      </c>
      <c r="BN25" s="119">
        <f t="shared" si="14"/>
        <v>1.1410658307210031</v>
      </c>
      <c r="BO25" s="119">
        <v>1.032124352331607</v>
      </c>
      <c r="BP25" s="119">
        <f t="shared" si="15"/>
        <v>1.07503125681504E-2</v>
      </c>
      <c r="BQ25" s="119">
        <f t="shared" si="16"/>
        <v>5.0581991922857124E-2</v>
      </c>
      <c r="BR25" s="119">
        <f t="shared" si="24"/>
        <v>5.8167125240866271E-2</v>
      </c>
      <c r="BS25" s="119">
        <f t="shared" si="17"/>
        <v>-1359.9726397196471</v>
      </c>
      <c r="BT25" s="124">
        <f t="shared" si="18"/>
        <v>-8.6328472273203231E-3</v>
      </c>
      <c r="BU25" s="58">
        <v>3517</v>
      </c>
      <c r="BV25" s="58">
        <v>8593</v>
      </c>
      <c r="BW25" s="58">
        <v>12110</v>
      </c>
      <c r="BX25" s="124">
        <f t="shared" si="19"/>
        <v>5.1032164314048518E-3</v>
      </c>
      <c r="BY25" s="124">
        <f t="shared" si="20"/>
        <v>1.2468563774541341E-2</v>
      </c>
      <c r="BZ25" s="124">
        <f t="shared" si="25"/>
        <v>1.7571780205946193E-2</v>
      </c>
      <c r="CB25" s="145">
        <v>6.6763133146467452E-2</v>
      </c>
      <c r="CC25" s="145">
        <v>-7.9667982739301535E-3</v>
      </c>
      <c r="CD25" s="145">
        <v>8.2048398921169309E-3</v>
      </c>
      <c r="CE25" s="124">
        <v>-7.2897379856823215E-3</v>
      </c>
      <c r="CF25" s="146">
        <v>1.0027406966066769E-2</v>
      </c>
      <c r="CG25" s="124">
        <f t="shared" si="26"/>
        <v>5.0233030169619379E-2</v>
      </c>
      <c r="CH25" s="146">
        <v>8.8737201365187701E-2</v>
      </c>
      <c r="CI25" s="124">
        <v>1.4030475614650394E-2</v>
      </c>
      <c r="CJ25" s="117">
        <v>0.98602382282573309</v>
      </c>
      <c r="CK25" s="145">
        <f t="shared" si="37"/>
        <v>-1.3976177174266913E-2</v>
      </c>
      <c r="CL25" s="120">
        <v>-392.80500000000001</v>
      </c>
      <c r="CM25" s="120">
        <v>327.89299999999997</v>
      </c>
      <c r="CN25" s="120">
        <v>650.20899999999995</v>
      </c>
      <c r="CO25" s="124"/>
      <c r="CP25" s="124"/>
      <c r="CQ25" s="124"/>
      <c r="CR25" s="124"/>
      <c r="CS25" s="124"/>
      <c r="CT25" s="124"/>
      <c r="CU25" s="124"/>
      <c r="CV25" s="124"/>
      <c r="CW25" s="124"/>
      <c r="CX25" s="124"/>
      <c r="CY25" s="124"/>
      <c r="CZ25" s="124"/>
      <c r="DA25" s="124"/>
      <c r="DB25" s="124"/>
      <c r="DH25" s="124"/>
      <c r="DI25" s="124"/>
      <c r="EK25" s="178" t="s">
        <v>269</v>
      </c>
      <c r="EL25" s="184">
        <v>-8.8424548478875896E-3</v>
      </c>
      <c r="EM25" s="184">
        <v>-1.2499652175983436E-2</v>
      </c>
      <c r="EN25" s="184">
        <v>-1.2510485887190562E-2</v>
      </c>
      <c r="EO25" s="184">
        <v>-8.8211162917209048E-3</v>
      </c>
      <c r="EP25" s="117"/>
    </row>
    <row r="26" spans="1:146" s="119" customFormat="1">
      <c r="A26" s="117">
        <v>1983</v>
      </c>
      <c r="B26" s="145">
        <v>8.1632653061224358E-2</v>
      </c>
      <c r="D26" s="145">
        <f>AVERAGE(B26:B39)</f>
        <v>5.3623041044107866E-2</v>
      </c>
      <c r="E26" s="145"/>
      <c r="F26" s="145"/>
      <c r="G26" s="145"/>
      <c r="H26" s="120">
        <v>1354.7766350915051</v>
      </c>
      <c r="I26" s="120">
        <f t="shared" si="27"/>
        <v>210.12125045878403</v>
      </c>
      <c r="J26" s="280">
        <f t="shared" si="28"/>
        <v>-5.8886918458683435E-2</v>
      </c>
      <c r="K26" s="223"/>
      <c r="L26" s="223">
        <f t="shared" si="39"/>
        <v>3.8322192141488499E-2</v>
      </c>
      <c r="M26" s="223"/>
      <c r="N26" s="223"/>
      <c r="O26" s="120">
        <v>685.93666009430751</v>
      </c>
      <c r="P26" s="203">
        <f t="shared" si="29"/>
        <v>0.92190193996110925</v>
      </c>
      <c r="Q26" s="160">
        <f t="shared" si="30"/>
        <v>-5.8886918458683435E-2</v>
      </c>
      <c r="R26" s="160">
        <v>-1.7695875776427838E-3</v>
      </c>
      <c r="S26" s="145">
        <f>AVERAGE(Q17:Q32)</f>
        <v>3.8322192141488499E-2</v>
      </c>
      <c r="T26" s="117">
        <v>114.91120497034422</v>
      </c>
      <c r="U26" s="117">
        <v>1203.787</v>
      </c>
      <c r="V26" s="117"/>
      <c r="W26" s="119">
        <v>126.6</v>
      </c>
      <c r="X26" s="124">
        <f t="shared" si="40"/>
        <v>0</v>
      </c>
      <c r="Y26" s="119">
        <v>764665.15118325572</v>
      </c>
      <c r="Z26" s="117">
        <v>9006035.042173909</v>
      </c>
      <c r="AA26" s="119">
        <v>0.67668670674682696</v>
      </c>
      <c r="AB26" s="119">
        <f t="shared" si="0"/>
        <v>1778.9428815399804</v>
      </c>
      <c r="AC26" s="119">
        <f t="shared" si="1"/>
        <v>3413791.3896752223</v>
      </c>
      <c r="AD26" s="119">
        <f t="shared" si="2"/>
        <v>0.37905597454250956</v>
      </c>
      <c r="AE26" s="119">
        <f t="shared" si="32"/>
        <v>8.0738599514946607E-2</v>
      </c>
      <c r="AF26" s="119">
        <f t="shared" si="3"/>
        <v>152399.43419999999</v>
      </c>
      <c r="AG26" s="145">
        <f t="shared" si="4"/>
        <v>0.1993021833990663</v>
      </c>
      <c r="AH26" s="119">
        <f t="shared" si="5"/>
        <v>0.1993021833990663</v>
      </c>
      <c r="AI26" s="120">
        <v>62.521410812573166</v>
      </c>
      <c r="AJ26" s="122">
        <f>+'Base_Budget Constraint'!T48/'Base_Budget Constraint'!$T$60</f>
        <v>0.60513184062307701</v>
      </c>
      <c r="AK26" s="119">
        <v>-37960.489600000023</v>
      </c>
      <c r="AL26" s="58">
        <v>71</v>
      </c>
      <c r="AM26" s="119">
        <v>47.619</v>
      </c>
      <c r="AN26" s="58">
        <f t="shared" si="6"/>
        <v>6.0285653999999997</v>
      </c>
      <c r="AO26" s="58">
        <f t="shared" si="7"/>
        <v>77.028565400000005</v>
      </c>
      <c r="AP26" s="121">
        <f t="shared" si="33"/>
        <v>-37883.461034600019</v>
      </c>
      <c r="AQ26" s="125">
        <f t="shared" si="21"/>
        <v>-4.9542549409997978E-2</v>
      </c>
      <c r="AR26" s="119">
        <v>44.396000000000001</v>
      </c>
      <c r="AS26" s="119">
        <f t="shared" si="8"/>
        <v>65.607909180651532</v>
      </c>
      <c r="AT26" s="124">
        <f t="shared" si="9"/>
        <v>1.397968996657154E-2</v>
      </c>
      <c r="AU26" s="119">
        <f t="shared" si="10"/>
        <v>5620.5335999999998</v>
      </c>
      <c r="AV26" s="58">
        <v>381</v>
      </c>
      <c r="AW26" s="126">
        <f t="shared" si="34"/>
        <v>6001.5335999999998</v>
      </c>
      <c r="AX26" s="119">
        <v>9.467404905977346E-2</v>
      </c>
      <c r="AY26" s="58">
        <f t="shared" si="35"/>
        <v>63391.538226181372</v>
      </c>
      <c r="AZ26" s="127">
        <f t="shared" si="22"/>
        <v>7.0387843184407262E-3</v>
      </c>
      <c r="BA26" s="58">
        <f t="shared" si="11"/>
        <v>9.4674049059773466</v>
      </c>
      <c r="BB26" s="58"/>
      <c r="BC26" s="119">
        <f t="shared" si="12"/>
        <v>43581.023200000025</v>
      </c>
      <c r="BD26" s="58"/>
      <c r="BE26" s="119">
        <v>-30492.1</v>
      </c>
      <c r="BF26" s="119">
        <v>-19901</v>
      </c>
      <c r="BG26" s="122">
        <v>97358</v>
      </c>
      <c r="BH26" s="119">
        <f t="shared" si="13"/>
        <v>0.12732108930209071</v>
      </c>
      <c r="BI26" s="119">
        <f t="shared" si="36"/>
        <v>1.5484181013626405E-2</v>
      </c>
      <c r="BJ26" s="119">
        <v>684.06700000000001</v>
      </c>
      <c r="BK26" s="124"/>
      <c r="BL26" s="119">
        <v>41848</v>
      </c>
      <c r="BM26" s="119">
        <f t="shared" si="23"/>
        <v>0.96957382114590607</v>
      </c>
      <c r="BN26" s="119">
        <f t="shared" si="14"/>
        <v>1.2980769230769229</v>
      </c>
      <c r="BO26" s="119">
        <v>1.0431726907630519</v>
      </c>
      <c r="BP26" s="119">
        <f t="shared" si="15"/>
        <v>3.1923658099887682E-2</v>
      </c>
      <c r="BQ26" s="119">
        <f t="shared" si="16"/>
        <v>4.8102363624129514E-2</v>
      </c>
      <c r="BR26" s="119">
        <f t="shared" si="24"/>
        <v>4.7160291718434513E-2</v>
      </c>
      <c r="BS26" s="119">
        <f t="shared" si="17"/>
        <v>-1695.0474162961225</v>
      </c>
      <c r="BT26" s="124">
        <f t="shared" si="18"/>
        <v>-1.6570233019030656E-2</v>
      </c>
      <c r="BU26" s="58">
        <v>21354</v>
      </c>
      <c r="BV26" s="58">
        <v>11894</v>
      </c>
      <c r="BW26" s="58">
        <v>33248</v>
      </c>
      <c r="BX26" s="124">
        <f t="shared" si="19"/>
        <v>2.7925948981664016E-2</v>
      </c>
      <c r="BY26" s="124">
        <f t="shared" si="20"/>
        <v>1.5554520801157243E-2</v>
      </c>
      <c r="BZ26" s="124">
        <f t="shared" si="25"/>
        <v>4.348046978282126E-2</v>
      </c>
      <c r="CB26" s="145">
        <v>8.0738599514946607E-2</v>
      </c>
      <c r="CC26" s="145">
        <v>1.5484181013626405E-2</v>
      </c>
      <c r="CD26" s="145">
        <v>1.07503125681504E-2</v>
      </c>
      <c r="CE26" s="124">
        <v>-8.6328472273203231E-3</v>
      </c>
      <c r="CF26" s="146">
        <v>4.9542549409997978E-2</v>
      </c>
      <c r="CG26" s="124">
        <f t="shared" si="26"/>
        <v>5.2083700947474214E-2</v>
      </c>
      <c r="CH26" s="146">
        <v>0.14106583072100309</v>
      </c>
      <c r="CI26" s="124">
        <v>1.397968996657154E-2</v>
      </c>
      <c r="CJ26" s="117">
        <v>0.96957382114590607</v>
      </c>
      <c r="CK26" s="145">
        <f t="shared" si="37"/>
        <v>-3.0426178854093933E-2</v>
      </c>
      <c r="CL26" s="120">
        <v>-253.584</v>
      </c>
      <c r="CM26" s="120">
        <v>216.39300000000003</v>
      </c>
      <c r="CN26" s="120">
        <v>625.36099999999999</v>
      </c>
      <c r="CO26" s="124"/>
      <c r="CP26" s="124"/>
      <c r="CQ26" s="124"/>
      <c r="CR26" s="124"/>
      <c r="CS26" s="124"/>
      <c r="CT26" s="124"/>
      <c r="CU26" s="124"/>
      <c r="CV26" s="124"/>
      <c r="CW26" s="124"/>
      <c r="CX26" s="124"/>
      <c r="CY26" s="124"/>
      <c r="CZ26" s="124"/>
      <c r="DA26" s="124"/>
      <c r="DB26" s="124"/>
      <c r="DH26" s="124"/>
      <c r="DI26" s="124"/>
      <c r="EK26" s="178" t="s">
        <v>402</v>
      </c>
      <c r="EL26" s="184">
        <v>1.6939823321457336E-2</v>
      </c>
      <c r="EM26" s="184">
        <v>1.8412044492443977E-2</v>
      </c>
      <c r="EN26" s="184">
        <v>-6.4813633409151541E-3</v>
      </c>
      <c r="EO26" s="184">
        <v>-7.1138497045627157E-3</v>
      </c>
      <c r="EP26" s="117"/>
    </row>
    <row r="27" spans="1:146" s="119" customFormat="1">
      <c r="A27" s="117">
        <v>1984</v>
      </c>
      <c r="B27" s="145">
        <v>0.179245283018868</v>
      </c>
      <c r="D27" s="145">
        <f>AVERAGE(B26:B39)</f>
        <v>5.3623041044107866E-2</v>
      </c>
      <c r="E27" s="145"/>
      <c r="F27" s="145"/>
      <c r="G27" s="145"/>
      <c r="H27" s="120">
        <v>1352.3792391875666</v>
      </c>
      <c r="I27" s="120">
        <f t="shared" si="27"/>
        <v>209.74942250417342</v>
      </c>
      <c r="J27" s="280">
        <f t="shared" si="28"/>
        <v>-1.7695875776427838E-3</v>
      </c>
      <c r="K27" s="223"/>
      <c r="L27" s="223">
        <f t="shared" si="39"/>
        <v>3.8322192141488499E-2</v>
      </c>
      <c r="M27" s="223"/>
      <c r="N27" s="223"/>
      <c r="O27" s="120">
        <v>670.74544217572998</v>
      </c>
      <c r="P27" s="203">
        <f t="shared" si="29"/>
        <v>0.97785332261365221</v>
      </c>
      <c r="Q27" s="160">
        <f t="shared" si="30"/>
        <v>-1.7695875776427838E-3</v>
      </c>
      <c r="R27" s="160">
        <v>1.5508807716390738E-2</v>
      </c>
      <c r="S27" s="145">
        <f>AVERAGE(Q17:Q32)</f>
        <v>3.8322192141488499E-2</v>
      </c>
      <c r="T27" s="117">
        <v>112.36630358578952</v>
      </c>
      <c r="U27" s="117">
        <v>1402.075</v>
      </c>
      <c r="V27" s="117"/>
      <c r="W27" s="119">
        <v>240</v>
      </c>
      <c r="X27" s="124">
        <f t="shared" si="40"/>
        <v>0.89573459715639814</v>
      </c>
      <c r="Y27" s="119">
        <v>991182.09136330104</v>
      </c>
      <c r="Z27" s="117">
        <v>9259698.9753414206</v>
      </c>
      <c r="AA27" s="119">
        <v>0.70340681362725443</v>
      </c>
      <c r="AB27" s="119">
        <f t="shared" si="0"/>
        <v>1993.2633190883193</v>
      </c>
      <c r="AC27" s="119">
        <f t="shared" si="1"/>
        <v>3825072.3093304848</v>
      </c>
      <c r="AD27" s="119">
        <f t="shared" si="2"/>
        <v>0.41308819212337816</v>
      </c>
      <c r="AE27" s="119">
        <f t="shared" si="32"/>
        <v>3.4032217580868607E-2</v>
      </c>
      <c r="AF27" s="119">
        <f t="shared" si="3"/>
        <v>336498</v>
      </c>
      <c r="AG27" s="145">
        <f t="shared" si="4"/>
        <v>0.3394916059643196</v>
      </c>
      <c r="AH27" s="119">
        <f t="shared" si="5"/>
        <v>0.3394916059643196</v>
      </c>
      <c r="AI27" s="120">
        <v>57.16859469982284</v>
      </c>
      <c r="AJ27" s="122">
        <f>+'Base_Budget Constraint'!T49/'Base_Budget Constraint'!$T$60</f>
        <v>0.88795360034991189</v>
      </c>
      <c r="AK27" s="119">
        <v>-58232.153600000005</v>
      </c>
      <c r="AL27" s="58">
        <v>988</v>
      </c>
      <c r="AM27" s="119">
        <v>57.905000000000001</v>
      </c>
      <c r="AN27" s="58">
        <f t="shared" si="6"/>
        <v>13.897200000000002</v>
      </c>
      <c r="AO27" s="58">
        <f t="shared" si="7"/>
        <v>1001.8972</v>
      </c>
      <c r="AP27" s="121">
        <f t="shared" si="33"/>
        <v>-57230.256400000006</v>
      </c>
      <c r="AQ27" s="125">
        <f t="shared" si="21"/>
        <v>-5.7739397128618239E-2</v>
      </c>
      <c r="AR27" s="119">
        <v>62.293999999999997</v>
      </c>
      <c r="AS27" s="119">
        <f t="shared" si="8"/>
        <v>88.560415954415959</v>
      </c>
      <c r="AT27" s="124">
        <f t="shared" si="9"/>
        <v>1.8353451734132425E-2</v>
      </c>
      <c r="AU27" s="119">
        <f t="shared" si="10"/>
        <v>14950.56</v>
      </c>
      <c r="AV27" s="58">
        <v>2270</v>
      </c>
      <c r="AW27" s="126">
        <f t="shared" si="34"/>
        <v>17220.559999999998</v>
      </c>
      <c r="AX27" s="119">
        <v>0.11388998405814489</v>
      </c>
      <c r="AY27" s="58">
        <f t="shared" si="35"/>
        <v>151203.46308248045</v>
      </c>
      <c r="AZ27" s="127">
        <f t="shared" si="22"/>
        <v>1.6329198550097068E-2</v>
      </c>
      <c r="BA27" s="58">
        <f t="shared" si="11"/>
        <v>11.388998405814489</v>
      </c>
      <c r="BB27" s="58"/>
      <c r="BC27" s="119">
        <f t="shared" si="12"/>
        <v>73182.713600000017</v>
      </c>
      <c r="BD27" s="58"/>
      <c r="BE27" s="119">
        <v>-30176.6</v>
      </c>
      <c r="BF27" s="119">
        <v>-29069</v>
      </c>
      <c r="BG27" s="122">
        <v>120126</v>
      </c>
      <c r="BH27" s="119">
        <f t="shared" si="13"/>
        <v>0.12119468364765869</v>
      </c>
      <c r="BI27" s="119">
        <f t="shared" si="36"/>
        <v>-6.1264056544320239E-3</v>
      </c>
      <c r="BJ27" s="119">
        <v>669.23199999999997</v>
      </c>
      <c r="BK27" s="124"/>
      <c r="BL27" s="119">
        <v>53703</v>
      </c>
      <c r="BM27" s="119">
        <f t="shared" si="23"/>
        <v>1.0281659944670036</v>
      </c>
      <c r="BN27" s="119">
        <f t="shared" si="14"/>
        <v>1.2306878306878308</v>
      </c>
      <c r="BO27" s="119">
        <v>1.0356111645813273</v>
      </c>
      <c r="BP27" s="119">
        <f t="shared" si="15"/>
        <v>2.6978993631846974E-2</v>
      </c>
      <c r="BQ27" s="119">
        <f t="shared" si="16"/>
        <v>5.6584704812510024E-2</v>
      </c>
      <c r="BR27" s="119">
        <f t="shared" si="24"/>
        <v>4.4438282264562E-2</v>
      </c>
      <c r="BS27" s="119">
        <f t="shared" si="17"/>
        <v>-1904.686121087075</v>
      </c>
      <c r="BT27" s="124">
        <f t="shared" si="18"/>
        <v>-1.4350521322635109E-2</v>
      </c>
      <c r="BU27" s="58">
        <v>29454</v>
      </c>
      <c r="BV27" s="58">
        <v>15897</v>
      </c>
      <c r="BW27" s="58">
        <v>45351</v>
      </c>
      <c r="BX27" s="124">
        <f t="shared" si="19"/>
        <v>2.9716033266388119E-2</v>
      </c>
      <c r="BY27" s="124">
        <f t="shared" si="20"/>
        <v>1.603842536958552E-2</v>
      </c>
      <c r="BZ27" s="124">
        <f t="shared" si="25"/>
        <v>4.575445863597364E-2</v>
      </c>
      <c r="CB27" s="145">
        <v>3.4032217580868607E-2</v>
      </c>
      <c r="CC27" s="145">
        <v>-6.1264056544320239E-3</v>
      </c>
      <c r="CD27" s="145">
        <v>3.1923658099887682E-2</v>
      </c>
      <c r="CE27" s="124">
        <v>-1.6570233019030656E-2</v>
      </c>
      <c r="CF27" s="146">
        <v>5.7739397128618239E-2</v>
      </c>
      <c r="CG27" s="124">
        <f t="shared" si="26"/>
        <v>3.0685418260425687E-4</v>
      </c>
      <c r="CH27" s="146">
        <v>0.29807692307692291</v>
      </c>
      <c r="CI27" s="124">
        <v>1.8353451734132425E-2</v>
      </c>
      <c r="CJ27" s="117">
        <v>1.0281659944670036</v>
      </c>
      <c r="CK27" s="145">
        <f t="shared" si="37"/>
        <v>2.816599446700363E-2</v>
      </c>
      <c r="CL27" s="120">
        <v>-322.47899999999998</v>
      </c>
      <c r="CM27" s="120">
        <v>194.19900000000001</v>
      </c>
      <c r="CN27" s="120">
        <v>516.94399999999996</v>
      </c>
      <c r="CO27" s="124"/>
      <c r="CP27" s="124"/>
      <c r="CQ27" s="124"/>
      <c r="CR27" s="124"/>
      <c r="CS27" s="124"/>
      <c r="CT27" s="124"/>
      <c r="CU27" s="124"/>
      <c r="CV27" s="124"/>
      <c r="CW27" s="124"/>
      <c r="CX27" s="124"/>
      <c r="CY27" s="124"/>
      <c r="CZ27" s="124"/>
      <c r="DA27" s="124"/>
      <c r="DB27" s="124"/>
      <c r="DH27" s="124"/>
      <c r="DI27" s="124"/>
      <c r="EK27" s="179" t="s">
        <v>403</v>
      </c>
      <c r="EL27" s="185">
        <v>4.2354905531185134E-3</v>
      </c>
      <c r="EM27" s="185">
        <v>4.4685792779485378E-3</v>
      </c>
      <c r="EN27" s="185">
        <v>1.4589829212998385E-4</v>
      </c>
      <c r="EO27" s="185">
        <v>4.9148988958025962E-3</v>
      </c>
      <c r="EP27" s="117"/>
    </row>
    <row r="28" spans="1:146" s="119" customFormat="1" ht="15" thickBot="1">
      <c r="A28" s="117">
        <v>1985</v>
      </c>
      <c r="B28" s="145">
        <v>1.9999999999999796E-2</v>
      </c>
      <c r="D28" s="145">
        <f>AVERAGE(B26:B39)</f>
        <v>5.3623041044107866E-2</v>
      </c>
      <c r="E28" s="145"/>
      <c r="F28" s="145"/>
      <c r="G28" s="145"/>
      <c r="H28" s="120">
        <v>1373.3530287677654</v>
      </c>
      <c r="I28" s="120">
        <f t="shared" si="27"/>
        <v>213.00238596641466</v>
      </c>
      <c r="J28" s="280">
        <f t="shared" si="28"/>
        <v>1.5508807716390738E-2</v>
      </c>
      <c r="K28" s="223"/>
      <c r="L28" s="223">
        <f t="shared" si="39"/>
        <v>3.8322192141488499E-2</v>
      </c>
      <c r="M28" s="223"/>
      <c r="N28" s="223"/>
      <c r="O28" s="120">
        <v>667.24348716307986</v>
      </c>
      <c r="P28" s="203">
        <f t="shared" si="29"/>
        <v>0.99477901034811267</v>
      </c>
      <c r="Q28" s="160">
        <f t="shared" si="30"/>
        <v>1.5508807716390738E-2</v>
      </c>
      <c r="R28" s="160">
        <v>2.0323786839182123E-2</v>
      </c>
      <c r="S28" s="145">
        <f>AVERAGE(Q17:Q32)</f>
        <v>3.8322192141488499E-2</v>
      </c>
      <c r="T28" s="117">
        <v>111.77964027754727</v>
      </c>
      <c r="U28" s="117">
        <v>1522.69</v>
      </c>
      <c r="V28" s="117"/>
      <c r="W28" s="119">
        <v>240</v>
      </c>
      <c r="X28" s="124">
        <f t="shared" si="40"/>
        <v>0</v>
      </c>
      <c r="Y28" s="119">
        <v>1307219.3706242959</v>
      </c>
      <c r="Z28" s="117">
        <v>9678527.7234127894</v>
      </c>
      <c r="AA28" s="119">
        <v>0.73012692050768202</v>
      </c>
      <c r="AB28" s="119">
        <f t="shared" si="0"/>
        <v>2085.5141171088749</v>
      </c>
      <c r="AC28" s="119">
        <f t="shared" si="1"/>
        <v>4002101.5907319309</v>
      </c>
      <c r="AD28" s="119">
        <f t="shared" si="2"/>
        <v>0.41350313860760757</v>
      </c>
      <c r="AE28" s="119">
        <f t="shared" si="32"/>
        <v>4.1494648422940594E-4</v>
      </c>
      <c r="AF28" s="119">
        <f t="shared" si="3"/>
        <v>365445.60000000003</v>
      </c>
      <c r="AG28" s="145">
        <f t="shared" si="4"/>
        <v>0.27955950486372627</v>
      </c>
      <c r="AH28" s="119">
        <f t="shared" si="5"/>
        <v>0.27955950486372627</v>
      </c>
      <c r="AI28" s="120">
        <v>90.519809789605191</v>
      </c>
      <c r="AJ28" s="122">
        <f>+'Base_Budget Constraint'!T50/'Base_Budget Constraint'!$T$60</f>
        <v>0.72776940405702595</v>
      </c>
      <c r="AK28" s="119">
        <v>-28714.13399999998</v>
      </c>
      <c r="AL28" s="58">
        <v>908</v>
      </c>
      <c r="AM28" s="119">
        <v>79.335999999999999</v>
      </c>
      <c r="AN28" s="58">
        <f t="shared" si="6"/>
        <v>19.04064</v>
      </c>
      <c r="AO28" s="58">
        <f t="shared" si="7"/>
        <v>927.04064000000005</v>
      </c>
      <c r="AP28" s="121">
        <f t="shared" si="33"/>
        <v>-27787.093359999981</v>
      </c>
      <c r="AQ28" s="125">
        <f t="shared" si="21"/>
        <v>-2.1256641375142372E-2</v>
      </c>
      <c r="AR28" s="119">
        <v>88.981999999999999</v>
      </c>
      <c r="AS28" s="119">
        <f t="shared" si="8"/>
        <v>121.87196157365051</v>
      </c>
      <c r="AT28" s="124">
        <f t="shared" si="9"/>
        <v>2.4164036198820595E-2</v>
      </c>
      <c r="AU28" s="119">
        <f t="shared" si="10"/>
        <v>21355.68</v>
      </c>
      <c r="AV28" s="58">
        <v>2351</v>
      </c>
      <c r="AW28" s="126">
        <f t="shared" si="34"/>
        <v>23706.68</v>
      </c>
      <c r="AX28" s="119">
        <v>0.14260246498791498</v>
      </c>
      <c r="AY28" s="58">
        <f t="shared" si="35"/>
        <v>166243.12912128869</v>
      </c>
      <c r="AZ28" s="127">
        <f t="shared" si="22"/>
        <v>1.7176489428153328E-2</v>
      </c>
      <c r="BA28" s="58">
        <f t="shared" si="11"/>
        <v>14.260246498791499</v>
      </c>
      <c r="BB28" s="58"/>
      <c r="BC28" s="119">
        <f t="shared" si="12"/>
        <v>50069.813999999977</v>
      </c>
      <c r="BD28" s="58"/>
      <c r="BE28" s="119">
        <v>-20900.14</v>
      </c>
      <c r="BF28" s="119">
        <v>-9703</v>
      </c>
      <c r="BG28" s="122">
        <v>143499</v>
      </c>
      <c r="BH28" s="119">
        <f t="shared" si="13"/>
        <v>0.10977423011370188</v>
      </c>
      <c r="BI28" s="119">
        <f t="shared" si="36"/>
        <v>-1.1420453533956806E-2</v>
      </c>
      <c r="BJ28" s="119">
        <v>578.03899999999999</v>
      </c>
      <c r="BK28" s="124"/>
      <c r="BL28" s="119">
        <v>69563</v>
      </c>
      <c r="BM28" s="119">
        <f t="shared" si="23"/>
        <v>1.0452313567845684</v>
      </c>
      <c r="BN28" s="119">
        <f t="shared" si="14"/>
        <v>1.2411865864144453</v>
      </c>
      <c r="BO28" s="119">
        <v>1.0185873605947968</v>
      </c>
      <c r="BP28" s="119">
        <f t="shared" si="15"/>
        <v>2.5514610097380493E-2</v>
      </c>
      <c r="BQ28" s="119">
        <f t="shared" si="16"/>
        <v>5.9588622766288603E-2</v>
      </c>
      <c r="BR28" s="119">
        <f t="shared" si="24"/>
        <v>5.2924521678966177E-2</v>
      </c>
      <c r="BS28" s="119">
        <f t="shared" si="17"/>
        <v>-1975.1392800061562</v>
      </c>
      <c r="BT28" s="124">
        <f t="shared" si="18"/>
        <v>-1.4156948999750174E-2</v>
      </c>
      <c r="BU28" s="58">
        <v>33351</v>
      </c>
      <c r="BV28" s="58">
        <v>26975</v>
      </c>
      <c r="BW28" s="58">
        <v>60326</v>
      </c>
      <c r="BX28" s="124">
        <f t="shared" si="19"/>
        <v>2.5512932832438353E-2</v>
      </c>
      <c r="BY28" s="124">
        <f t="shared" si="20"/>
        <v>2.0635404130461592E-2</v>
      </c>
      <c r="BZ28" s="124">
        <f t="shared" si="25"/>
        <v>4.6148336962899945E-2</v>
      </c>
      <c r="CB28" s="145">
        <v>4.1494648422940594E-4</v>
      </c>
      <c r="CC28" s="145">
        <v>-1.1420453533956806E-2</v>
      </c>
      <c r="CD28" s="145">
        <v>2.6978993631846974E-2</v>
      </c>
      <c r="CE28" s="124">
        <v>-1.4350521322635109E-2</v>
      </c>
      <c r="CF28" s="146">
        <v>2.1256641375142372E-2</v>
      </c>
      <c r="CG28" s="124">
        <f t="shared" si="26"/>
        <v>-1.5096669669208284E-2</v>
      </c>
      <c r="CH28" s="146">
        <v>0.23068783068783083</v>
      </c>
      <c r="CI28" s="124">
        <v>2.4164036198820595E-2</v>
      </c>
      <c r="CJ28" s="117">
        <v>1.0452313567845684</v>
      </c>
      <c r="CK28" s="145">
        <f t="shared" si="37"/>
        <v>4.5231356784568355E-2</v>
      </c>
      <c r="CL28" s="120">
        <v>-185.39400000000001</v>
      </c>
      <c r="CM28" s="120">
        <v>106.514</v>
      </c>
      <c r="CN28" s="120">
        <v>479.75</v>
      </c>
      <c r="CO28" s="124"/>
      <c r="CP28" s="124"/>
      <c r="CQ28" s="124"/>
      <c r="CR28" s="124"/>
      <c r="CS28" s="124"/>
      <c r="CT28" s="124"/>
      <c r="CU28" s="124"/>
      <c r="CV28" s="124"/>
      <c r="CW28" s="124"/>
      <c r="CX28" s="124"/>
      <c r="CY28" s="124"/>
      <c r="CZ28" s="124"/>
      <c r="DA28" s="124"/>
      <c r="DB28" s="124"/>
      <c r="DH28" s="124"/>
      <c r="DI28" s="124"/>
      <c r="EK28" s="187" t="s">
        <v>233</v>
      </c>
      <c r="EL28" s="188">
        <f>SUM(EL25:EL27)</f>
        <v>1.2332859026688261E-2</v>
      </c>
      <c r="EM28" s="188">
        <f>SUM(EM25:EM27)</f>
        <v>1.0380971594409079E-2</v>
      </c>
      <c r="EN28" s="188">
        <f>SUM(EN25:EN27)</f>
        <v>-1.8845950935975731E-2</v>
      </c>
      <c r="EO28" s="188">
        <f>SUM(EO25:EO27)</f>
        <v>-1.1020067100481024E-2</v>
      </c>
      <c r="EP28" s="117"/>
    </row>
    <row r="29" spans="1:146" s="119" customFormat="1">
      <c r="A29" s="117">
        <v>1986</v>
      </c>
      <c r="B29" s="145">
        <v>1.5686274509804088E-2</v>
      </c>
      <c r="D29" s="145">
        <f>AVERAGE(B26:B39)</f>
        <v>5.3623041044107866E-2</v>
      </c>
      <c r="E29" s="145"/>
      <c r="F29" s="145"/>
      <c r="G29" s="145"/>
      <c r="H29" s="120">
        <v>1401.2647629793867</v>
      </c>
      <c r="I29" s="120">
        <f t="shared" si="27"/>
        <v>217.33140105503327</v>
      </c>
      <c r="J29" s="280">
        <f t="shared" si="28"/>
        <v>2.0323786839182123E-2</v>
      </c>
      <c r="K29" s="223"/>
      <c r="L29" s="223">
        <f t="shared" si="39"/>
        <v>3.8322192141488499E-2</v>
      </c>
      <c r="M29" s="223"/>
      <c r="N29" s="223"/>
      <c r="O29" s="120">
        <v>666.90699645770144</v>
      </c>
      <c r="P29" s="203">
        <f t="shared" si="29"/>
        <v>0.99949570027755674</v>
      </c>
      <c r="Q29" s="160">
        <f t="shared" si="30"/>
        <v>2.0323786839182123E-2</v>
      </c>
      <c r="R29" s="160">
        <v>4.5986517232805113E-2</v>
      </c>
      <c r="S29" s="145">
        <f>AVERAGE(Q17:Q32)</f>
        <v>3.8322192141488499E-2</v>
      </c>
      <c r="T29" s="117">
        <v>111.72326983598052</v>
      </c>
      <c r="U29" s="117">
        <v>1722.432</v>
      </c>
      <c r="V29" s="117"/>
      <c r="W29" s="119">
        <v>320</v>
      </c>
      <c r="X29" s="124">
        <f t="shared" si="40"/>
        <v>0.33333333333333326</v>
      </c>
      <c r="Y29" s="119">
        <v>1779709.348981041</v>
      </c>
      <c r="Z29" s="117">
        <v>10159050.719603689</v>
      </c>
      <c r="AA29" s="119">
        <v>0.73814295257181028</v>
      </c>
      <c r="AB29" s="119">
        <f t="shared" si="0"/>
        <v>2333.4667004524886</v>
      </c>
      <c r="AC29" s="119">
        <f t="shared" si="1"/>
        <v>4477922.5981683256</v>
      </c>
      <c r="AD29" s="119">
        <f t="shared" si="2"/>
        <v>0.44078159680090778</v>
      </c>
      <c r="AE29" s="119">
        <f t="shared" si="32"/>
        <v>2.7278458193300215E-2</v>
      </c>
      <c r="AF29" s="119">
        <f t="shared" si="3"/>
        <v>551178.23999999999</v>
      </c>
      <c r="AG29" s="145">
        <f t="shared" si="4"/>
        <v>0.30970126684763044</v>
      </c>
      <c r="AH29" s="119">
        <f t="shared" si="5"/>
        <v>0.30970126684763044</v>
      </c>
      <c r="AI29" s="120">
        <v>72.921158467453679</v>
      </c>
      <c r="AJ29" s="122">
        <f>+'Base_Budget Constraint'!T51/'Base_Budget Constraint'!$T$60</f>
        <v>0.77140219238254404</v>
      </c>
      <c r="AK29" s="119">
        <v>-25306.439999999977</v>
      </c>
      <c r="AL29" s="58">
        <v>784</v>
      </c>
      <c r="AM29" s="119">
        <v>90.734999999999999</v>
      </c>
      <c r="AN29" s="58">
        <f t="shared" si="6"/>
        <v>29.0352</v>
      </c>
      <c r="AO29" s="58">
        <f t="shared" si="7"/>
        <v>813.03520000000003</v>
      </c>
      <c r="AP29" s="121">
        <f t="shared" si="33"/>
        <v>-24493.404799999978</v>
      </c>
      <c r="AQ29" s="125">
        <f t="shared" si="21"/>
        <v>-1.3762587028057976E-2</v>
      </c>
      <c r="AR29" s="119">
        <v>120.167</v>
      </c>
      <c r="AS29" s="119">
        <f t="shared" si="8"/>
        <v>162.79637918552035</v>
      </c>
      <c r="AT29" s="124">
        <f t="shared" si="9"/>
        <v>3.0751520026784621E-2</v>
      </c>
      <c r="AU29" s="119">
        <f t="shared" si="10"/>
        <v>38453.440000000002</v>
      </c>
      <c r="AV29" s="58">
        <v>2210</v>
      </c>
      <c r="AW29" s="126">
        <f t="shared" si="34"/>
        <v>40663.440000000002</v>
      </c>
      <c r="AX29" s="119">
        <v>0.18787961899537739</v>
      </c>
      <c r="AY29" s="58">
        <f t="shared" si="35"/>
        <v>216433.48127611697</v>
      </c>
      <c r="AZ29" s="127">
        <f t="shared" si="22"/>
        <v>2.1304498545171174E-2</v>
      </c>
      <c r="BA29" s="58">
        <f t="shared" si="11"/>
        <v>18.787961899537738</v>
      </c>
      <c r="BB29" s="58"/>
      <c r="BC29" s="119">
        <f t="shared" si="12"/>
        <v>63759.879999999976</v>
      </c>
      <c r="BD29" s="58"/>
      <c r="BE29" s="119">
        <v>11099.6</v>
      </c>
      <c r="BF29" s="119">
        <v>-30950</v>
      </c>
      <c r="BG29" s="122">
        <v>201113</v>
      </c>
      <c r="BH29" s="119">
        <f t="shared" si="13"/>
        <v>0.1130032834379084</v>
      </c>
      <c r="BI29" s="119">
        <f t="shared" si="36"/>
        <v>3.2290533242065184E-3</v>
      </c>
      <c r="BJ29" s="119">
        <v>475.48500000000001</v>
      </c>
      <c r="BK29" s="124"/>
      <c r="BL29" s="119">
        <v>92060</v>
      </c>
      <c r="BM29" s="119">
        <f t="shared" si="23"/>
        <v>1.0496483566429731</v>
      </c>
      <c r="BN29" s="119">
        <f t="shared" si="14"/>
        <v>1.3204018011776932</v>
      </c>
      <c r="BO29" s="119">
        <v>1.0374087591240879</v>
      </c>
      <c r="BP29" s="119">
        <f t="shared" si="15"/>
        <v>3.3452563935403107E-2</v>
      </c>
      <c r="BQ29" s="119">
        <f t="shared" si="16"/>
        <v>6.7611377401255904E-2</v>
      </c>
      <c r="BR29" s="119">
        <f t="shared" si="24"/>
        <v>5.3391558111640328E-2</v>
      </c>
      <c r="BS29" s="119">
        <f t="shared" si="17"/>
        <v>-2208.8792775137017</v>
      </c>
      <c r="BT29" s="124">
        <f t="shared" si="18"/>
        <v>-1.2329877376530379E-2</v>
      </c>
      <c r="BU29" s="58">
        <v>40396</v>
      </c>
      <c r="BV29" s="58">
        <v>34576</v>
      </c>
      <c r="BW29" s="58">
        <v>74972</v>
      </c>
      <c r="BX29" s="124">
        <f t="shared" si="19"/>
        <v>2.2698088327247606E-2</v>
      </c>
      <c r="BY29" s="124">
        <f t="shared" si="20"/>
        <v>1.942789142496567E-2</v>
      </c>
      <c r="BZ29" s="124">
        <f t="shared" si="25"/>
        <v>4.2125979752213272E-2</v>
      </c>
      <c r="CB29" s="145">
        <v>2.7278458193300215E-2</v>
      </c>
      <c r="CC29" s="145">
        <v>3.2290533242065184E-3</v>
      </c>
      <c r="CD29" s="145">
        <v>2.5514610097380493E-2</v>
      </c>
      <c r="CE29" s="124">
        <v>-1.4156948999750174E-2</v>
      </c>
      <c r="CF29" s="146">
        <v>1.3762587028057976E-2</v>
      </c>
      <c r="CG29" s="124">
        <f t="shared" si="26"/>
        <v>2.5664963559794807E-2</v>
      </c>
      <c r="CH29" s="146">
        <v>0.24118658641444535</v>
      </c>
      <c r="CI29" s="124">
        <v>3.0751520026784621E-2</v>
      </c>
      <c r="CJ29" s="117">
        <v>1.0496483566429731</v>
      </c>
      <c r="CK29" s="145">
        <f t="shared" si="37"/>
        <v>4.9648356642973068E-2</v>
      </c>
      <c r="CL29" s="120">
        <v>-369.97300000000001</v>
      </c>
      <c r="CM29" s="120">
        <v>7.0039999999999907</v>
      </c>
      <c r="CN29" s="120">
        <v>397.51600000000002</v>
      </c>
      <c r="CO29" s="124"/>
      <c r="CP29" s="124"/>
      <c r="CQ29" s="124"/>
      <c r="CR29" s="124"/>
      <c r="CS29" s="124"/>
      <c r="CT29" s="124"/>
      <c r="CU29" s="124"/>
      <c r="CV29" s="124"/>
      <c r="CW29" s="124"/>
      <c r="CX29" s="124"/>
      <c r="CY29" s="124"/>
      <c r="CZ29" s="124"/>
      <c r="DA29" s="124"/>
      <c r="DB29" s="124"/>
      <c r="DH29" s="124"/>
      <c r="DI29" s="124"/>
      <c r="EK29" s="180" t="s">
        <v>406</v>
      </c>
      <c r="EL29" s="117"/>
      <c r="EM29" s="117"/>
      <c r="EN29" s="117"/>
      <c r="EO29" s="117"/>
      <c r="EP29" s="117"/>
    </row>
    <row r="30" spans="1:146" s="119" customFormat="1">
      <c r="A30" s="117">
        <v>1987</v>
      </c>
      <c r="B30" s="145">
        <v>5.044222772771989E-2</v>
      </c>
      <c r="D30" s="145">
        <f>AVERAGE(B26:B39)</f>
        <v>5.3623041044107866E-2</v>
      </c>
      <c r="E30" s="145"/>
      <c r="F30" s="145"/>
      <c r="G30" s="145"/>
      <c r="H30" s="120">
        <v>1465.7040491498608</v>
      </c>
      <c r="I30" s="120">
        <f t="shared" si="27"/>
        <v>227.32571527488022</v>
      </c>
      <c r="J30" s="280">
        <f t="shared" si="28"/>
        <v>4.5986517232805113E-2</v>
      </c>
      <c r="K30" s="223"/>
      <c r="L30" s="223">
        <f t="shared" si="39"/>
        <v>3.8322192141488499E-2</v>
      </c>
      <c r="M30" s="223"/>
      <c r="N30" s="223"/>
      <c r="O30" s="120">
        <v>683.33596480937035</v>
      </c>
      <c r="P30" s="203">
        <f t="shared" si="29"/>
        <v>1.0246345718952297</v>
      </c>
      <c r="Q30" s="160">
        <f t="shared" si="30"/>
        <v>4.5986517232805113E-2</v>
      </c>
      <c r="R30" s="160">
        <v>3.0220599806814352E-2</v>
      </c>
      <c r="S30" s="145">
        <f>AVERAGE(Q17:Q32)</f>
        <v>3.8322192141488499E-2</v>
      </c>
      <c r="T30" s="117">
        <v>114.47552475912511</v>
      </c>
      <c r="U30" s="117">
        <v>1924.1590000000001</v>
      </c>
      <c r="V30" s="117"/>
      <c r="W30" s="119">
        <v>320</v>
      </c>
      <c r="X30" s="124">
        <f t="shared" si="40"/>
        <v>0</v>
      </c>
      <c r="Y30" s="119">
        <v>2523915.3420047355</v>
      </c>
      <c r="Z30" s="117">
        <v>10929340.866968166</v>
      </c>
      <c r="AA30" s="119">
        <v>0.77087508350033407</v>
      </c>
      <c r="AB30" s="119">
        <f t="shared" si="0"/>
        <v>2496.0710771230501</v>
      </c>
      <c r="AC30" s="119">
        <f t="shared" si="1"/>
        <v>4789960.3969991328</v>
      </c>
      <c r="AD30" s="119">
        <f t="shared" si="2"/>
        <v>0.4382661731665693</v>
      </c>
      <c r="AE30" s="119">
        <f t="shared" si="32"/>
        <v>-2.5154236343384873E-3</v>
      </c>
      <c r="AF30" s="119">
        <f t="shared" si="3"/>
        <v>615730.88</v>
      </c>
      <c r="AG30" s="145">
        <f t="shared" si="4"/>
        <v>0.24395861055740781</v>
      </c>
      <c r="AH30" s="119">
        <f t="shared" si="5"/>
        <v>0.24395861055740781</v>
      </c>
      <c r="AI30" s="120">
        <v>72.815706911998873</v>
      </c>
      <c r="AJ30" s="122">
        <f>+'Base_Budget Constraint'!T52/'Base_Budget Constraint'!$T$60</f>
        <v>0.59619446741482163</v>
      </c>
      <c r="AK30" s="119">
        <v>-21444.968599999993</v>
      </c>
      <c r="AL30" s="58">
        <v>682</v>
      </c>
      <c r="AM30" s="119">
        <v>116.456</v>
      </c>
      <c r="AN30" s="58">
        <f t="shared" si="6"/>
        <v>37.265920000000001</v>
      </c>
      <c r="AO30" s="58">
        <f t="shared" si="7"/>
        <v>719.26592000000005</v>
      </c>
      <c r="AP30" s="121">
        <f t="shared" si="33"/>
        <v>-20725.702679999991</v>
      </c>
      <c r="AQ30" s="125">
        <f t="shared" si="21"/>
        <v>-8.2117265722302917E-3</v>
      </c>
      <c r="AR30" s="119">
        <v>178.73599999999999</v>
      </c>
      <c r="AS30" s="119">
        <f t="shared" si="8"/>
        <v>231.86117157712303</v>
      </c>
      <c r="AT30" s="124">
        <f t="shared" si="9"/>
        <v>4.0710743097166054E-2</v>
      </c>
      <c r="AU30" s="119">
        <f t="shared" si="10"/>
        <v>57195.519999999997</v>
      </c>
      <c r="AV30" s="58">
        <v>2094</v>
      </c>
      <c r="AW30" s="126">
        <f t="shared" si="34"/>
        <v>59289.52</v>
      </c>
      <c r="AX30" s="119">
        <v>0.22884275845518279</v>
      </c>
      <c r="AY30" s="58">
        <f t="shared" si="35"/>
        <v>259084.09949363297</v>
      </c>
      <c r="AZ30" s="127">
        <f t="shared" si="22"/>
        <v>2.3705372780225466E-2</v>
      </c>
      <c r="BA30" s="58">
        <f t="shared" si="11"/>
        <v>22.884275845518278</v>
      </c>
      <c r="BB30" s="58"/>
      <c r="BC30" s="119">
        <f t="shared" si="12"/>
        <v>78640.488599999997</v>
      </c>
      <c r="BD30" s="58"/>
      <c r="BE30" s="119">
        <v>16858.009999999998</v>
      </c>
      <c r="BF30" s="119">
        <v>-49421</v>
      </c>
      <c r="BG30" s="122">
        <v>286885</v>
      </c>
      <c r="BH30" s="119">
        <f t="shared" si="13"/>
        <v>0.11366664928314452</v>
      </c>
      <c r="BI30" s="119">
        <f t="shared" si="36"/>
        <v>6.633658452361163E-4</v>
      </c>
      <c r="BJ30" s="119">
        <v>526.53599999999994</v>
      </c>
      <c r="BK30" s="124"/>
      <c r="BL30" s="119">
        <v>128309</v>
      </c>
      <c r="BM30" s="119">
        <f t="shared" si="23"/>
        <v>1.0758230437690468</v>
      </c>
      <c r="BN30" s="119">
        <f t="shared" si="14"/>
        <v>1.1694648478488983</v>
      </c>
      <c r="BO30" s="119">
        <v>1.0400908824391633</v>
      </c>
      <c r="BP30" s="119">
        <f t="shared" si="15"/>
        <v>2.189957420681448E-2</v>
      </c>
      <c r="BQ30" s="119">
        <f t="shared" si="16"/>
        <v>6.0888939011796837E-2</v>
      </c>
      <c r="BR30" s="119">
        <f t="shared" si="24"/>
        <v>6.1374716369165978E-2</v>
      </c>
      <c r="BS30" s="119">
        <f t="shared" si="17"/>
        <v>-2342.8754227273444</v>
      </c>
      <c r="BT30" s="124">
        <f t="shared" si="18"/>
        <v>-1.285907808879482E-2</v>
      </c>
      <c r="BU30" s="58">
        <v>50101</v>
      </c>
      <c r="BV30" s="58">
        <v>60270</v>
      </c>
      <c r="BW30" s="58">
        <v>110371</v>
      </c>
      <c r="BX30" s="124">
        <f t="shared" si="19"/>
        <v>1.9850507331281953E-2</v>
      </c>
      <c r="BY30" s="124">
        <f t="shared" si="20"/>
        <v>2.3879564816198545E-2</v>
      </c>
      <c r="BZ30" s="124">
        <f t="shared" si="25"/>
        <v>4.3730072147480502E-2</v>
      </c>
      <c r="CB30" s="145">
        <v>-2.5154236343384873E-3</v>
      </c>
      <c r="CC30" s="145">
        <v>6.633658452361163E-4</v>
      </c>
      <c r="CD30" s="145">
        <v>3.3452563935403107E-2</v>
      </c>
      <c r="CE30" s="124">
        <v>-1.2329877376530379E-2</v>
      </c>
      <c r="CF30" s="146">
        <v>8.2117265722302917E-3</v>
      </c>
      <c r="CG30" s="124">
        <f t="shared" si="26"/>
        <v>-4.9920861465652319E-3</v>
      </c>
      <c r="CH30" s="146">
        <v>0.32040180117769324</v>
      </c>
      <c r="CI30" s="124">
        <v>4.0710743097166054E-2</v>
      </c>
      <c r="CJ30" s="117">
        <v>1.0758230437690468</v>
      </c>
      <c r="CK30" s="145">
        <f t="shared" si="37"/>
        <v>7.5823043769046805E-2</v>
      </c>
      <c r="CL30" s="120">
        <v>-160.37100000000001</v>
      </c>
      <c r="CM30" s="120">
        <v>171.185</v>
      </c>
      <c r="CN30" s="120">
        <v>437.31399999999996</v>
      </c>
      <c r="CO30" s="124"/>
      <c r="CP30" s="124"/>
      <c r="CQ30" s="124"/>
      <c r="CR30" s="124"/>
      <c r="CS30" s="124"/>
      <c r="CT30" s="124"/>
      <c r="CU30" s="124"/>
      <c r="CV30" s="124"/>
      <c r="CW30" s="124"/>
      <c r="CX30" s="124"/>
      <c r="CY30" s="124"/>
      <c r="CZ30" s="124"/>
      <c r="DA30" s="124"/>
      <c r="DB30" s="124"/>
      <c r="DH30" s="124"/>
      <c r="DI30" s="124"/>
    </row>
    <row r="31" spans="1:146" s="195" customFormat="1" ht="15" thickBot="1">
      <c r="A31" s="117">
        <v>1988</v>
      </c>
      <c r="B31" s="145">
        <v>3.9215686274509665E-2</v>
      </c>
      <c r="C31" s="119"/>
      <c r="D31" s="145">
        <f>AVERAGE(B26:B39)</f>
        <v>5.3623041044107866E-2</v>
      </c>
      <c r="E31" s="145"/>
      <c r="F31" s="145"/>
      <c r="G31" s="145"/>
      <c r="H31" s="120">
        <v>1509.9985046544462</v>
      </c>
      <c r="I31" s="120">
        <f t="shared" si="27"/>
        <v>234.19563474200024</v>
      </c>
      <c r="J31" s="280">
        <f t="shared" si="28"/>
        <v>3.0220599806814352E-2</v>
      </c>
      <c r="K31" s="223"/>
      <c r="L31" s="223">
        <f t="shared" si="39"/>
        <v>3.8322192141488499E-2</v>
      </c>
      <c r="M31" s="223"/>
      <c r="N31" s="223"/>
      <c r="O31" s="120">
        <v>689.61615544970368</v>
      </c>
      <c r="P31" s="203">
        <f t="shared" si="29"/>
        <v>1.0091904874962718</v>
      </c>
      <c r="Q31" s="160">
        <f t="shared" si="30"/>
        <v>3.0220599806814352E-2</v>
      </c>
      <c r="R31" s="160">
        <v>4.0788521450160431E-2</v>
      </c>
      <c r="S31" s="145">
        <f>AVERAGE(Q17:Q32)</f>
        <v>3.8322192141488499E-2</v>
      </c>
      <c r="T31" s="117">
        <v>115.52761063805299</v>
      </c>
      <c r="U31" s="117">
        <v>1884.646</v>
      </c>
      <c r="V31" s="117"/>
      <c r="W31" s="119">
        <v>400</v>
      </c>
      <c r="X31" s="124">
        <f t="shared" si="40"/>
        <v>0.25</v>
      </c>
      <c r="Y31" s="119">
        <v>3429405.8003171985</v>
      </c>
      <c r="Z31" s="117">
        <v>11575852.043612972</v>
      </c>
      <c r="AA31" s="119">
        <v>0.80494321977287919</v>
      </c>
      <c r="AB31" s="119">
        <f t="shared" si="0"/>
        <v>2341.3403004149372</v>
      </c>
      <c r="AC31" s="119">
        <f t="shared" si="1"/>
        <v>4493032.0364962649</v>
      </c>
      <c r="AD31" s="119">
        <f t="shared" si="2"/>
        <v>0.38813834347298137</v>
      </c>
      <c r="AE31" s="119">
        <f t="shared" si="32"/>
        <v>-5.0127829693587922E-2</v>
      </c>
      <c r="AF31" s="119">
        <f t="shared" si="3"/>
        <v>753858.4</v>
      </c>
      <c r="AG31" s="145">
        <f t="shared" si="4"/>
        <v>0.21982187116213336</v>
      </c>
      <c r="AH31" s="119">
        <f t="shared" si="5"/>
        <v>0.21982187116213336</v>
      </c>
      <c r="AI31" s="120">
        <v>61.007151485300582</v>
      </c>
      <c r="AJ31" s="122">
        <f>+'Base_Budget Constraint'!T53/'Base_Budget Constraint'!$T$60</f>
        <v>0.65317762114442257</v>
      </c>
      <c r="AK31" s="119">
        <v>-47795.385599999987</v>
      </c>
      <c r="AL31" s="58">
        <v>580</v>
      </c>
      <c r="AM31" s="119">
        <v>117.16</v>
      </c>
      <c r="AN31" s="58">
        <f t="shared" si="6"/>
        <v>46.863999999999997</v>
      </c>
      <c r="AO31" s="58">
        <f t="shared" si="7"/>
        <v>626.86400000000003</v>
      </c>
      <c r="AP31" s="121">
        <f t="shared" si="33"/>
        <v>-47168.521599999985</v>
      </c>
      <c r="AQ31" s="125">
        <f t="shared" si="21"/>
        <v>-1.3754138281225627E-2</v>
      </c>
      <c r="AR31" s="119">
        <v>165.83799999999999</v>
      </c>
      <c r="AS31" s="119">
        <f t="shared" si="8"/>
        <v>206.02446970954352</v>
      </c>
      <c r="AT31" s="124">
        <f t="shared" si="9"/>
        <v>3.4153940105925609E-2</v>
      </c>
      <c r="AU31" s="119">
        <f t="shared" si="10"/>
        <v>66335.199999999997</v>
      </c>
      <c r="AV31" s="58">
        <v>2080</v>
      </c>
      <c r="AW31" s="126">
        <f t="shared" si="34"/>
        <v>68415.199999999997</v>
      </c>
      <c r="AX31" s="119">
        <v>0.28153658912868329</v>
      </c>
      <c r="AY31" s="58">
        <f t="shared" si="35"/>
        <v>243006.42489040431</v>
      </c>
      <c r="AZ31" s="127">
        <f t="shared" si="22"/>
        <v>2.0992530310067689E-2</v>
      </c>
      <c r="BA31" s="58">
        <f t="shared" si="11"/>
        <v>28.15365891286833</v>
      </c>
      <c r="BB31" s="58"/>
      <c r="BC31" s="119">
        <f t="shared" si="12"/>
        <v>114130.58559999999</v>
      </c>
      <c r="BD31" s="58"/>
      <c r="BE31" s="119">
        <v>26470.5</v>
      </c>
      <c r="BF31" s="119">
        <v>-74594</v>
      </c>
      <c r="BG31" s="122">
        <v>354311</v>
      </c>
      <c r="BH31" s="119">
        <f t="shared" si="13"/>
        <v>0.10331556561991831</v>
      </c>
      <c r="BI31" s="119">
        <f t="shared" si="36"/>
        <v>-1.0351083663226207E-2</v>
      </c>
      <c r="BJ31" s="119">
        <v>338.32400000000001</v>
      </c>
      <c r="BK31" s="124"/>
      <c r="BL31" s="119">
        <v>159275</v>
      </c>
      <c r="BM31" s="119">
        <f t="shared" si="23"/>
        <v>1.0591537206602057</v>
      </c>
      <c r="BN31" s="119">
        <f t="shared" si="14"/>
        <v>1.2853297442799461</v>
      </c>
      <c r="BO31" s="119">
        <v>1.0482700303009005</v>
      </c>
      <c r="BP31" s="119">
        <f t="shared" si="15"/>
        <v>2.8147997829765674E-2</v>
      </c>
      <c r="BQ31" s="119">
        <f t="shared" si="16"/>
        <v>3.8262358023734962E-2</v>
      </c>
      <c r="BR31" s="119">
        <f t="shared" si="24"/>
        <v>5.4318095586611687E-2</v>
      </c>
      <c r="BS31" s="119">
        <f t="shared" si="17"/>
        <v>-2214.1631541762126</v>
      </c>
      <c r="BT31" s="124">
        <f t="shared" si="18"/>
        <v>-2.8927196515906015E-2</v>
      </c>
      <c r="BU31" s="58">
        <v>60684</v>
      </c>
      <c r="BV31" s="58">
        <v>80496</v>
      </c>
      <c r="BW31" s="58">
        <v>141180</v>
      </c>
      <c r="BX31" s="124">
        <f t="shared" si="19"/>
        <v>1.7695193725509858E-2</v>
      </c>
      <c r="BY31" s="124">
        <f t="shared" si="20"/>
        <v>2.3472287820984799E-2</v>
      </c>
      <c r="BZ31" s="124">
        <f t="shared" si="25"/>
        <v>4.1167481546494654E-2</v>
      </c>
      <c r="CA31" s="119"/>
      <c r="CB31" s="145">
        <v>-5.0127829693587922E-2</v>
      </c>
      <c r="CC31" s="145">
        <v>-1.0351083663226207E-2</v>
      </c>
      <c r="CD31" s="145">
        <v>2.189957420681448E-2</v>
      </c>
      <c r="CE31" s="124">
        <v>-1.285907808879482E-2</v>
      </c>
      <c r="CF31" s="146">
        <v>1.3754138281225627E-2</v>
      </c>
      <c r="CG31" s="124">
        <f t="shared" si="26"/>
        <v>-7.3628339448356062E-2</v>
      </c>
      <c r="CH31" s="146">
        <v>0.16946484784889826</v>
      </c>
      <c r="CI31" s="124">
        <v>3.4153940105925609E-2</v>
      </c>
      <c r="CJ31" s="117">
        <v>1.0591537206602057</v>
      </c>
      <c r="CK31" s="145">
        <f t="shared" si="37"/>
        <v>5.9153720660205744E-2</v>
      </c>
      <c r="CL31" s="120">
        <v>-160.10900000000001</v>
      </c>
      <c r="CM31" s="120">
        <v>-21.544</v>
      </c>
      <c r="CN31" s="120">
        <v>304.238</v>
      </c>
      <c r="CO31" s="124"/>
      <c r="CP31" s="124"/>
      <c r="CQ31" s="124"/>
      <c r="CR31" s="124"/>
      <c r="CS31" s="124"/>
      <c r="CT31" s="124"/>
      <c r="CU31" s="124"/>
      <c r="CV31" s="124"/>
      <c r="CW31" s="124"/>
      <c r="CX31" s="124"/>
      <c r="CY31" s="124"/>
      <c r="CZ31" s="124"/>
      <c r="DA31" s="124"/>
      <c r="DB31" s="124"/>
      <c r="DC31" s="119"/>
      <c r="DH31" s="196"/>
      <c r="DI31" s="196"/>
    </row>
    <row r="32" spans="1:146" s="119" customFormat="1" ht="15" thickBot="1">
      <c r="A32" s="193">
        <v>1989</v>
      </c>
      <c r="B32" s="145">
        <v>1.3207547169811429E-2</v>
      </c>
      <c r="D32" s="145">
        <f>AVERAGE(B26:B39)</f>
        <v>5.3623041044107866E-2</v>
      </c>
      <c r="E32" s="145"/>
      <c r="F32" s="145"/>
      <c r="G32" s="145"/>
      <c r="H32" s="120">
        <v>1571.5891110512541</v>
      </c>
      <c r="I32" s="120">
        <f t="shared" si="27"/>
        <v>243.74812841320824</v>
      </c>
      <c r="J32" s="280">
        <f t="shared" si="28"/>
        <v>4.0788521450160431E-2</v>
      </c>
      <c r="K32" s="224"/>
      <c r="L32" s="223">
        <f t="shared" si="39"/>
        <v>3.8322192141488499E-2</v>
      </c>
      <c r="M32" s="224"/>
      <c r="N32" s="224"/>
      <c r="O32" s="120">
        <v>703.09310599247783</v>
      </c>
      <c r="P32" s="203">
        <f t="shared" si="29"/>
        <v>1.0195426839065069</v>
      </c>
      <c r="Q32" s="160">
        <f t="shared" si="30"/>
        <v>4.0788521450160431E-2</v>
      </c>
      <c r="R32" s="160">
        <v>1.4227935901870215E-2</v>
      </c>
      <c r="S32" s="145">
        <f>AVERAGE(Q17:Q32)</f>
        <v>3.8322192141488499E-2</v>
      </c>
      <c r="T32" s="117">
        <v>117.78533021522648</v>
      </c>
      <c r="U32" s="117">
        <v>2076.17</v>
      </c>
      <c r="V32" s="117"/>
      <c r="W32" s="119">
        <v>1220</v>
      </c>
      <c r="X32" s="124">
        <f t="shared" si="40"/>
        <v>2.0499999999999998</v>
      </c>
      <c r="Y32" s="119">
        <v>4858488.9672426693</v>
      </c>
      <c r="Z32" s="117">
        <v>12378660.98717171</v>
      </c>
      <c r="AA32" s="119">
        <v>0.8423513694054775</v>
      </c>
      <c r="AB32" s="119">
        <f t="shared" si="0"/>
        <v>2464.731554321967</v>
      </c>
      <c r="AC32" s="119">
        <f t="shared" si="1"/>
        <v>4729819.8527438547</v>
      </c>
      <c r="AD32" s="119">
        <f t="shared" si="2"/>
        <v>0.38209462700735369</v>
      </c>
      <c r="AE32" s="119">
        <f t="shared" si="32"/>
        <v>-6.0437164656276798E-3</v>
      </c>
      <c r="AF32" s="119">
        <f t="shared" si="3"/>
        <v>2532927.4</v>
      </c>
      <c r="AG32" s="145">
        <f t="shared" si="4"/>
        <v>0.52134056845198684</v>
      </c>
      <c r="AH32" s="119">
        <f t="shared" si="5"/>
        <v>0.52134056845198684</v>
      </c>
      <c r="AI32" s="120">
        <v>63.535083397593652</v>
      </c>
      <c r="AJ32" s="122">
        <f>+'Base_Budget Constraint'!T54/'Base_Budget Constraint'!$T$60</f>
        <v>1.6294764479818209</v>
      </c>
      <c r="AK32" s="119">
        <v>-14746.879999999976</v>
      </c>
      <c r="AL32" s="58">
        <v>478</v>
      </c>
      <c r="AM32" s="119">
        <v>72.111000000000004</v>
      </c>
      <c r="AN32" s="58">
        <f t="shared" si="6"/>
        <v>87.97542</v>
      </c>
      <c r="AO32" s="58">
        <f t="shared" si="7"/>
        <v>565.97541999999999</v>
      </c>
      <c r="AP32" s="121">
        <f t="shared" si="33"/>
        <v>-14180.904579999975</v>
      </c>
      <c r="AQ32" s="125">
        <f t="shared" si="21"/>
        <v>-2.9187890876385052E-3</v>
      </c>
      <c r="AR32" s="119">
        <v>58.039000000000001</v>
      </c>
      <c r="AS32" s="119">
        <f t="shared" si="8"/>
        <v>68.901176050753378</v>
      </c>
      <c r="AT32" s="124">
        <f t="shared" si="9"/>
        <v>1.0681394132888829E-2</v>
      </c>
      <c r="AU32" s="119">
        <f t="shared" si="10"/>
        <v>70807.58</v>
      </c>
      <c r="AV32" s="58">
        <v>2120</v>
      </c>
      <c r="AW32" s="126">
        <f t="shared" si="34"/>
        <v>72927.58</v>
      </c>
      <c r="AX32" s="119">
        <v>0.35465770722983125</v>
      </c>
      <c r="AY32" s="58">
        <f t="shared" si="35"/>
        <v>205628.07042774977</v>
      </c>
      <c r="AZ32" s="127">
        <f t="shared" si="22"/>
        <v>1.6611495430793918E-2</v>
      </c>
      <c r="BA32" s="58">
        <f t="shared" si="11"/>
        <v>35.465770722983123</v>
      </c>
      <c r="BB32" s="58"/>
      <c r="BC32" s="119">
        <f t="shared" si="12"/>
        <v>85554.459999999977</v>
      </c>
      <c r="BD32" s="58"/>
      <c r="BE32" s="119">
        <v>117765.2</v>
      </c>
      <c r="BF32" s="119">
        <v>-187677</v>
      </c>
      <c r="BG32" s="122">
        <v>450736</v>
      </c>
      <c r="BH32" s="119">
        <f t="shared" si="13"/>
        <v>9.2772877130933462E-2</v>
      </c>
      <c r="BI32" s="119">
        <f t="shared" si="36"/>
        <v>-1.0542688488984847E-2</v>
      </c>
      <c r="BJ32" s="119">
        <v>448.75200000000001</v>
      </c>
      <c r="BK32" s="124"/>
      <c r="BL32" s="119">
        <v>229907</v>
      </c>
      <c r="BM32" s="119">
        <f t="shared" si="23"/>
        <v>1.0693520391012332</v>
      </c>
      <c r="BN32" s="119">
        <f t="shared" si="14"/>
        <v>1.4406631762652706</v>
      </c>
      <c r="BO32" s="119">
        <v>1.0539795643990271</v>
      </c>
      <c r="BP32" s="119">
        <f t="shared" si="15"/>
        <v>3.0927005116881543E-2</v>
      </c>
      <c r="BQ32" s="119">
        <f t="shared" si="16"/>
        <v>3.8026751181261649E-2</v>
      </c>
      <c r="BR32" s="119">
        <f t="shared" si="24"/>
        <v>3.4865162062675509E-2</v>
      </c>
      <c r="BS32" s="119">
        <f t="shared" si="17"/>
        <v>-2378.7982892395416</v>
      </c>
      <c r="BT32" s="124">
        <f t="shared" si="18"/>
        <v>-2.2849102155064235E-2</v>
      </c>
      <c r="BU32" s="58">
        <v>58107</v>
      </c>
      <c r="BV32" s="58">
        <v>77806</v>
      </c>
      <c r="BW32" s="58">
        <v>135913</v>
      </c>
      <c r="BX32" s="124">
        <f t="shared" si="19"/>
        <v>1.1959891314310708E-2</v>
      </c>
      <c r="BY32" s="124">
        <f t="shared" si="20"/>
        <v>1.6014444104862736E-2</v>
      </c>
      <c r="BZ32" s="124">
        <f t="shared" si="25"/>
        <v>2.7974335419173442E-2</v>
      </c>
      <c r="CB32" s="194">
        <v>-6.0437164656276798E-3</v>
      </c>
      <c r="CC32" s="194">
        <v>-1.0542688488984847E-2</v>
      </c>
      <c r="CD32" s="194">
        <v>2.8147997829765674E-2</v>
      </c>
      <c r="CE32" s="196">
        <v>-2.8927196515906015E-2</v>
      </c>
      <c r="CF32" s="197">
        <v>2.9187890876385052E-3</v>
      </c>
      <c r="CG32" s="196">
        <f t="shared" si="26"/>
        <v>2.6888606170531827E-2</v>
      </c>
      <c r="CH32" s="197">
        <v>0.28532974427994606</v>
      </c>
      <c r="CI32" s="196">
        <v>1.0681394132888829E-2</v>
      </c>
      <c r="CJ32" s="193">
        <v>1.0693520391012332</v>
      </c>
      <c r="CK32" s="194">
        <f t="shared" si="37"/>
        <v>6.935203910123322E-2</v>
      </c>
      <c r="CL32" s="206">
        <v>-82.5</v>
      </c>
      <c r="CM32" s="206"/>
      <c r="CN32" s="206">
        <v>427.90999999999997</v>
      </c>
      <c r="CO32" s="196"/>
      <c r="CP32" s="196"/>
      <c r="CQ32" s="196"/>
      <c r="CR32" s="196"/>
      <c r="CS32" s="196"/>
      <c r="CT32" s="196"/>
      <c r="CU32" s="196"/>
      <c r="CV32" s="196"/>
      <c r="CW32" s="196"/>
      <c r="CX32" s="196"/>
      <c r="CY32" s="196"/>
      <c r="CZ32" s="196"/>
      <c r="DA32" s="196"/>
      <c r="DB32" s="196"/>
      <c r="DC32" s="195"/>
      <c r="DH32" s="124"/>
      <c r="DI32" s="124"/>
    </row>
    <row r="33" spans="1:133" s="119" customFormat="1">
      <c r="A33" s="117">
        <v>1990</v>
      </c>
      <c r="B33" s="145">
        <v>5.5865921787707773E-3</v>
      </c>
      <c r="D33" s="145">
        <f>AVERAGE(B26:B39)</f>
        <v>5.3623041044107866E-2</v>
      </c>
      <c r="E33" s="145"/>
      <c r="F33" s="145"/>
      <c r="G33" s="145"/>
      <c r="H33" s="120">
        <v>1593.9495801873684</v>
      </c>
      <c r="I33" s="120">
        <f t="shared" si="27"/>
        <v>247.21616116047213</v>
      </c>
      <c r="J33" s="280">
        <f t="shared" si="28"/>
        <v>1.4227935901870215E-2</v>
      </c>
      <c r="K33" s="223"/>
      <c r="L33" s="223"/>
      <c r="M33" s="223">
        <f>AVERAGE($J$33:$J$46)</f>
        <v>1.3223116877783944E-5</v>
      </c>
      <c r="N33" s="223"/>
      <c r="O33" s="120">
        <v>698.5400755900929</v>
      </c>
      <c r="P33" s="203">
        <f t="shared" si="29"/>
        <v>0.9935242852424816</v>
      </c>
      <c r="Q33" s="160">
        <f t="shared" si="30"/>
        <v>1.4227935901870215E-2</v>
      </c>
      <c r="R33" s="160">
        <v>8.8194153359435479E-3</v>
      </c>
      <c r="S33" s="145">
        <f>AVERAGE(Q34:Q46)</f>
        <v>-1.0802163281216338E-3</v>
      </c>
      <c r="T33" s="117">
        <v>117.02258601413256</v>
      </c>
      <c r="U33" s="117">
        <v>1669.8789999999999</v>
      </c>
      <c r="V33" s="117"/>
      <c r="W33" s="119">
        <v>1263</v>
      </c>
      <c r="X33" s="124">
        <f t="shared" si="40"/>
        <v>3.5245901639344268E-2</v>
      </c>
      <c r="Y33" s="119">
        <v>7003958.8827211782</v>
      </c>
      <c r="Z33" s="117">
        <v>12889068.196377208</v>
      </c>
      <c r="AA33" s="119">
        <v>0.89378757515030072</v>
      </c>
      <c r="AB33" s="119">
        <f t="shared" si="0"/>
        <v>1868.317535874439</v>
      </c>
      <c r="AC33" s="119">
        <f t="shared" si="1"/>
        <v>3585301.3513430487</v>
      </c>
      <c r="AD33" s="119">
        <f t="shared" si="2"/>
        <v>0.27816606264452742</v>
      </c>
      <c r="AE33" s="119">
        <f t="shared" si="32"/>
        <v>-0.10392856436282627</v>
      </c>
      <c r="AF33" s="119">
        <f t="shared" si="3"/>
        <v>2109057.1769999997</v>
      </c>
      <c r="AG33" s="145">
        <f t="shared" si="4"/>
        <v>0.30112358057998606</v>
      </c>
      <c r="AH33" s="119">
        <f t="shared" si="5"/>
        <v>0.30112358057998606</v>
      </c>
      <c r="AI33" s="120">
        <v>161.72248115695888</v>
      </c>
      <c r="AJ33" s="122">
        <f>+'Base_Budget Constraint'!T55/'Base_Budget Constraint'!$T$60</f>
        <v>1.196489636681896</v>
      </c>
      <c r="AK33" s="119">
        <v>360775</v>
      </c>
      <c r="AL33" s="58">
        <v>382</v>
      </c>
      <c r="AM33" s="119">
        <v>78.95</v>
      </c>
      <c r="AN33" s="58">
        <f t="shared" si="6"/>
        <v>99.713850000000008</v>
      </c>
      <c r="AO33" s="58">
        <f t="shared" si="7"/>
        <v>481.71384999999998</v>
      </c>
      <c r="AP33" s="121">
        <f t="shared" si="33"/>
        <v>361256.71385</v>
      </c>
      <c r="AQ33" s="125">
        <f t="shared" si="21"/>
        <v>5.1578931272886701E-2</v>
      </c>
      <c r="AR33" s="119">
        <v>199.04599999999999</v>
      </c>
      <c r="AS33" s="119">
        <f t="shared" si="8"/>
        <v>222.69944843049325</v>
      </c>
      <c r="AT33" s="124">
        <f t="shared" si="9"/>
        <v>3.315679884898403E-2</v>
      </c>
      <c r="AU33" s="119">
        <f t="shared" si="10"/>
        <v>251395.098</v>
      </c>
      <c r="AV33" s="58">
        <v>2518</v>
      </c>
      <c r="AW33" s="126">
        <f t="shared" si="34"/>
        <v>253913.098</v>
      </c>
      <c r="AX33" s="119">
        <v>0.49008348046694183</v>
      </c>
      <c r="AY33" s="58">
        <f t="shared" si="35"/>
        <v>518101.72780783515</v>
      </c>
      <c r="AZ33" s="127">
        <f t="shared" si="22"/>
        <v>4.0196988635180043E-2</v>
      </c>
      <c r="BA33" s="58">
        <f t="shared" si="11"/>
        <v>49.008348046694181</v>
      </c>
      <c r="BB33" s="58"/>
      <c r="BC33" s="119">
        <f t="shared" si="12"/>
        <v>-109379.902</v>
      </c>
      <c r="BD33" s="58"/>
      <c r="BE33" s="119">
        <v>200595.6</v>
      </c>
      <c r="BF33" s="119">
        <v>104859</v>
      </c>
      <c r="BG33" s="122">
        <v>547123</v>
      </c>
      <c r="BH33" s="119">
        <f t="shared" si="13"/>
        <v>7.8116249561338336E-2</v>
      </c>
      <c r="BI33" s="119">
        <f t="shared" si="36"/>
        <v>-1.4656627569595126E-2</v>
      </c>
      <c r="BJ33" s="119">
        <v>675</v>
      </c>
      <c r="BK33" s="124"/>
      <c r="BL33" s="119">
        <v>325268</v>
      </c>
      <c r="BM33" s="119">
        <f t="shared" si="23"/>
        <v>1.0412328287958161</v>
      </c>
      <c r="BN33" s="119">
        <f t="shared" si="14"/>
        <v>1.1181102362204725</v>
      </c>
      <c r="BO33" s="119">
        <v>1.0423496396453913</v>
      </c>
      <c r="BP33" s="119">
        <f t="shared" si="15"/>
        <v>1.0610143675904992E-2</v>
      </c>
      <c r="BQ33" s="119">
        <f t="shared" si="16"/>
        <v>5.4136257776761072E-2</v>
      </c>
      <c r="BR33" s="119">
        <f t="shared" si="24"/>
        <v>3.5250241598569536E-2</v>
      </c>
      <c r="BS33" s="119">
        <f t="shared" si="17"/>
        <v>-1802.4588913520211</v>
      </c>
      <c r="BT33" s="124">
        <f t="shared" si="18"/>
        <v>-1.4725228495774416E-2</v>
      </c>
      <c r="BU33" s="58">
        <v>74196</v>
      </c>
      <c r="BV33" s="58">
        <v>142688</v>
      </c>
      <c r="BW33" s="58">
        <v>216884</v>
      </c>
      <c r="BX33" s="124">
        <f t="shared" si="19"/>
        <v>1.0593437403386551E-2</v>
      </c>
      <c r="BY33" s="124">
        <f t="shared" si="20"/>
        <v>2.037247824969567E-2</v>
      </c>
      <c r="BZ33" s="124">
        <f>+BW33/Y33</f>
        <v>3.096591565308222E-2</v>
      </c>
      <c r="CB33" s="145">
        <v>-0.10392856436282627</v>
      </c>
      <c r="CC33" s="145">
        <v>-1.4656627569595126E-2</v>
      </c>
      <c r="CD33" s="145">
        <v>3.0927005116881543E-2</v>
      </c>
      <c r="CE33" s="124">
        <v>-2.2849102155064235E-2</v>
      </c>
      <c r="CF33" s="146">
        <v>-5.1578931272886701E-2</v>
      </c>
      <c r="CG33" s="124">
        <f t="shared" si="26"/>
        <v>-4.6386952236572951E-2</v>
      </c>
      <c r="CH33" s="146">
        <v>0.44066317626527063</v>
      </c>
      <c r="CI33" s="124">
        <v>3.315679884898403E-2</v>
      </c>
      <c r="CJ33" s="117">
        <v>1.0412328287958161</v>
      </c>
      <c r="CK33" s="145">
        <f t="shared" si="37"/>
        <v>4.1232828795816134E-2</v>
      </c>
      <c r="CL33" s="120">
        <v>-208.8</v>
      </c>
      <c r="CM33" s="207"/>
      <c r="CN33" s="207">
        <v>675</v>
      </c>
      <c r="CO33" s="124"/>
      <c r="CP33" s="124"/>
      <c r="CQ33" s="124"/>
      <c r="CR33" s="124"/>
      <c r="CS33" s="124"/>
      <c r="CT33" s="124"/>
      <c r="CU33" s="124"/>
      <c r="CV33" s="124"/>
      <c r="CW33" s="124"/>
      <c r="CX33" s="124"/>
      <c r="CY33" s="124"/>
      <c r="CZ33" s="124"/>
      <c r="DA33" s="124"/>
      <c r="DB33" s="124"/>
      <c r="DH33" s="124"/>
      <c r="DI33" s="124"/>
    </row>
    <row r="34" spans="1:133" s="119" customFormat="1">
      <c r="A34" s="117">
        <v>1991</v>
      </c>
      <c r="B34" s="145">
        <v>2.6851851851851904E-2</v>
      </c>
      <c r="D34" s="145">
        <f>AVERAGE(B26:B39)</f>
        <v>5.3623041044107866E-2</v>
      </c>
      <c r="E34" s="145"/>
      <c r="F34" s="145"/>
      <c r="G34" s="145"/>
      <c r="H34" s="120">
        <v>1608.0072835595936</v>
      </c>
      <c r="I34" s="120">
        <f t="shared" si="27"/>
        <v>249.39646316350391</v>
      </c>
      <c r="J34" s="280">
        <f t="shared" si="28"/>
        <v>8.8194153359435479E-3</v>
      </c>
      <c r="K34" s="223"/>
      <c r="L34" s="223"/>
      <c r="M34" s="223">
        <f t="shared" ref="M34:M46" si="41">AVERAGE($J$33:$J$46)</f>
        <v>1.3223116877783944E-5</v>
      </c>
      <c r="N34" s="223"/>
      <c r="O34" s="120">
        <v>690.31558346234078</v>
      </c>
      <c r="P34" s="203">
        <f t="shared" si="29"/>
        <v>0.98822616995767287</v>
      </c>
      <c r="Q34" s="160">
        <f t="shared" si="30"/>
        <v>8.8194153359435479E-3</v>
      </c>
      <c r="R34" s="160">
        <v>-8.1511914704676114E-3</v>
      </c>
      <c r="S34" s="145">
        <f>AVERAGE(Q34:Q46)</f>
        <v>-1.0802163281216338E-3</v>
      </c>
      <c r="T34" s="117">
        <v>115.64478197528855</v>
      </c>
      <c r="U34" s="117">
        <v>1636.72</v>
      </c>
      <c r="V34" s="117"/>
      <c r="W34" s="119">
        <v>1352</v>
      </c>
      <c r="X34" s="124">
        <f t="shared" si="40"/>
        <v>7.0467141726049176E-2</v>
      </c>
      <c r="Y34" s="119">
        <v>9255684.1593739633</v>
      </c>
      <c r="Z34" s="117">
        <v>13339367.147406742</v>
      </c>
      <c r="AA34" s="119">
        <v>0.92117568470273881</v>
      </c>
      <c r="AB34" s="119">
        <f t="shared" si="0"/>
        <v>1776.7729079042786</v>
      </c>
      <c r="AC34" s="119">
        <f t="shared" si="1"/>
        <v>3409627.2102683107</v>
      </c>
      <c r="AD34" s="119">
        <f t="shared" si="2"/>
        <v>0.25560636967182987</v>
      </c>
      <c r="AE34" s="119">
        <f t="shared" si="32"/>
        <v>-2.2559692972697554E-2</v>
      </c>
      <c r="AF34" s="119">
        <f t="shared" si="3"/>
        <v>2212845.44</v>
      </c>
      <c r="AG34" s="145">
        <f t="shared" si="4"/>
        <v>0.23907961873989361</v>
      </c>
      <c r="AH34" s="119">
        <f t="shared" si="5"/>
        <v>0.23907961873989361</v>
      </c>
      <c r="AI34" s="120">
        <v>123.80353442946176</v>
      </c>
      <c r="AJ34" s="122">
        <f>+'Base_Budget Constraint'!T56/'Base_Budget Constraint'!$T$60</f>
        <v>1.1705554821205819</v>
      </c>
      <c r="AK34" s="119">
        <v>169426</v>
      </c>
      <c r="AL34" s="58">
        <v>427</v>
      </c>
      <c r="AM34" s="119">
        <v>90.400999999999996</v>
      </c>
      <c r="AN34" s="58">
        <f t="shared" si="6"/>
        <v>122.22215200000001</v>
      </c>
      <c r="AO34" s="58">
        <f t="shared" si="7"/>
        <v>549.22215200000005</v>
      </c>
      <c r="AP34" s="121">
        <f t="shared" si="33"/>
        <v>169975.222152</v>
      </c>
      <c r="AQ34" s="125">
        <f t="shared" si="21"/>
        <v>1.836441469103639E-2</v>
      </c>
      <c r="AR34" s="119">
        <v>128.48699999999999</v>
      </c>
      <c r="AS34" s="119">
        <f t="shared" si="8"/>
        <v>139.48153662073966</v>
      </c>
      <c r="AT34" s="124">
        <f t="shared" si="9"/>
        <v>2.0065799660311114E-2</v>
      </c>
      <c r="AU34" s="119">
        <f t="shared" si="10"/>
        <v>173714.424</v>
      </c>
      <c r="AV34" s="58">
        <v>151227</v>
      </c>
      <c r="AW34" s="126">
        <f t="shared" si="34"/>
        <v>324941.424</v>
      </c>
      <c r="AX34" s="119">
        <v>0.6090302895246581</v>
      </c>
      <c r="AY34" s="58">
        <f t="shared" si="35"/>
        <v>533539.02029012947</v>
      </c>
      <c r="AZ34" s="127">
        <f t="shared" si="22"/>
        <v>3.999732628948989E-2</v>
      </c>
      <c r="BA34" s="58">
        <f t="shared" si="11"/>
        <v>60.90302895246581</v>
      </c>
      <c r="BB34" s="58"/>
      <c r="BC34" s="119">
        <f t="shared" si="12"/>
        <v>4288.4239999999972</v>
      </c>
      <c r="BD34" s="58"/>
      <c r="BE34" s="119">
        <v>-3503.9999999997672</v>
      </c>
      <c r="BF34" s="119">
        <v>127906</v>
      </c>
      <c r="BG34" s="122">
        <v>687580</v>
      </c>
      <c r="BH34" s="119">
        <f t="shared" si="13"/>
        <v>7.4287323136845954E-2</v>
      </c>
      <c r="BI34" s="119">
        <f t="shared" si="36"/>
        <v>-3.8289264244923821E-3</v>
      </c>
      <c r="BJ34" s="119">
        <v>975</v>
      </c>
      <c r="BK34" s="124"/>
      <c r="BL34" s="119">
        <v>424016</v>
      </c>
      <c r="BM34" s="119">
        <f t="shared" si="23"/>
        <v>1.0349365015506786</v>
      </c>
      <c r="BN34" s="119">
        <f t="shared" si="14"/>
        <v>1.1781148429035755</v>
      </c>
      <c r="BO34" s="119">
        <v>1.0302881967814954</v>
      </c>
      <c r="BP34" s="119">
        <f t="shared" si="15"/>
        <v>1.2283083990338856E-2</v>
      </c>
      <c r="BQ34" s="119">
        <f t="shared" si="16"/>
        <v>0.15164169803020675</v>
      </c>
      <c r="BR34" s="119">
        <f t="shared" si="24"/>
        <v>5.1668256622476323E-2</v>
      </c>
      <c r="BS34" s="119">
        <f t="shared" si="17"/>
        <v>-1684.9701493388168</v>
      </c>
      <c r="BT34" s="124">
        <f t="shared" si="18"/>
        <v>-1.4594939854625118E-2</v>
      </c>
      <c r="BW34" s="59">
        <v>266000</v>
      </c>
      <c r="BZ34" s="124">
        <f t="shared" ref="BZ34:BZ53" si="42">+BW34/Y34</f>
        <v>2.8739096475175287E-2</v>
      </c>
      <c r="CB34" s="145">
        <v>-2.2559692972697554E-2</v>
      </c>
      <c r="CC34" s="145">
        <v>-3.8289264244923821E-3</v>
      </c>
      <c r="CD34" s="145">
        <v>1.0610143675904992E-2</v>
      </c>
      <c r="CE34" s="124">
        <v>-1.4725228495774416E-2</v>
      </c>
      <c r="CF34" s="146">
        <v>-1.836441469103639E-2</v>
      </c>
      <c r="CG34" s="124">
        <f t="shared" si="26"/>
        <v>-2.7546321947852503E-3</v>
      </c>
      <c r="CH34" s="146">
        <v>0.11811023622047245</v>
      </c>
      <c r="CI34" s="124">
        <v>2.0065799660311114E-2</v>
      </c>
      <c r="CJ34" s="117">
        <v>1.0349365015506786</v>
      </c>
      <c r="CK34" s="145">
        <f t="shared" si="37"/>
        <v>3.4936501550678623E-2</v>
      </c>
      <c r="CL34" s="120">
        <v>-455.9</v>
      </c>
      <c r="CM34" s="207"/>
      <c r="CN34" s="207">
        <v>975</v>
      </c>
      <c r="CO34" s="124"/>
      <c r="CP34" s="124"/>
      <c r="CQ34" s="124"/>
      <c r="CR34" s="124"/>
      <c r="CS34" s="124"/>
      <c r="CT34" s="124"/>
      <c r="CU34" s="124"/>
      <c r="CV34" s="124"/>
      <c r="CW34" s="124"/>
      <c r="CX34" s="124"/>
      <c r="CY34" s="124"/>
      <c r="CZ34" s="124"/>
      <c r="DA34" s="124"/>
      <c r="DB34" s="124"/>
      <c r="DH34" s="124"/>
      <c r="DI34" s="124"/>
    </row>
    <row r="35" spans="1:133" s="119" customFormat="1">
      <c r="A35" s="117">
        <v>1992</v>
      </c>
      <c r="B35" s="145">
        <v>-2.7051397655546428E-3</v>
      </c>
      <c r="D35" s="145">
        <f>AVERAGE(B26:B39)</f>
        <v>5.3623041044107866E-2</v>
      </c>
      <c r="E35" s="145"/>
      <c r="F35" s="145"/>
      <c r="G35" s="145"/>
      <c r="H35" s="120">
        <v>1594.9001083053929</v>
      </c>
      <c r="I35" s="120">
        <f t="shared" si="27"/>
        <v>247.36358484020076</v>
      </c>
      <c r="J35" s="280">
        <f t="shared" si="28"/>
        <v>-8.1511914704676114E-3</v>
      </c>
      <c r="K35" s="223"/>
      <c r="L35" s="223"/>
      <c r="M35" s="223">
        <f t="shared" si="41"/>
        <v>1.3223116877783944E-5</v>
      </c>
      <c r="N35" s="223"/>
      <c r="O35" s="120">
        <v>670.7119930729873</v>
      </c>
      <c r="P35" s="203">
        <f t="shared" si="29"/>
        <v>0.97160198775894657</v>
      </c>
      <c r="Q35" s="160">
        <f t="shared" si="30"/>
        <v>-8.1511914704676114E-3</v>
      </c>
      <c r="R35" s="160">
        <v>2.4039712367109445E-2</v>
      </c>
      <c r="S35" s="145">
        <f>AVERAGE(Q34:Q46)</f>
        <v>-1.0802163281216338E-3</v>
      </c>
      <c r="T35" s="117">
        <v>112.36070004114036</v>
      </c>
      <c r="U35" s="117">
        <v>1248.807</v>
      </c>
      <c r="V35" s="117"/>
      <c r="W35" s="119">
        <v>1600</v>
      </c>
      <c r="X35" s="124">
        <f t="shared" si="40"/>
        <v>0.18343195266272194</v>
      </c>
      <c r="Y35" s="119">
        <v>10738283.273766331</v>
      </c>
      <c r="Z35" s="117">
        <v>13565659.908216847</v>
      </c>
      <c r="AA35" s="119">
        <v>0.94789579158316639</v>
      </c>
      <c r="AB35" s="119">
        <f t="shared" si="0"/>
        <v>1317.4517822410148</v>
      </c>
      <c r="AC35" s="119">
        <f t="shared" si="1"/>
        <v>2528189.9701205073</v>
      </c>
      <c r="AD35" s="119">
        <f t="shared" si="2"/>
        <v>0.18636689901013653</v>
      </c>
      <c r="AE35" s="119">
        <f t="shared" si="32"/>
        <v>-6.9239470661693336E-2</v>
      </c>
      <c r="AF35" s="119">
        <f t="shared" si="3"/>
        <v>1998091.2</v>
      </c>
      <c r="AG35" s="145">
        <f t="shared" si="4"/>
        <v>0.18607175365557219</v>
      </c>
      <c r="AH35" s="119">
        <f t="shared" si="5"/>
        <v>0.18607175365557219</v>
      </c>
      <c r="AI35" s="120">
        <v>108.97626025038088</v>
      </c>
      <c r="AJ35" s="122">
        <f>+'Base_Budget Constraint'!T57/'Base_Budget Constraint'!$T$60</f>
        <v>1.2333363167293871</v>
      </c>
      <c r="AK35" s="119">
        <v>20749</v>
      </c>
      <c r="AL35" s="58">
        <v>176</v>
      </c>
      <c r="AM35" s="119">
        <v>248.19499999999999</v>
      </c>
      <c r="AN35" s="58">
        <f t="shared" si="6"/>
        <v>397.11200000000002</v>
      </c>
      <c r="AO35" s="58">
        <f t="shared" si="7"/>
        <v>573.11200000000008</v>
      </c>
      <c r="AP35" s="121">
        <f t="shared" si="33"/>
        <v>21322.112000000001</v>
      </c>
      <c r="AQ35" s="125">
        <f t="shared" si="21"/>
        <v>1.9856164580878588E-3</v>
      </c>
      <c r="AR35" s="119">
        <v>381.161</v>
      </c>
      <c r="AS35" s="119">
        <f t="shared" si="8"/>
        <v>402.11276744186046</v>
      </c>
      <c r="AT35" s="124">
        <f t="shared" si="9"/>
        <v>5.6882923937488061E-2</v>
      </c>
      <c r="AU35" s="119">
        <f t="shared" si="10"/>
        <v>609857.6</v>
      </c>
      <c r="AV35" s="58">
        <v>2082</v>
      </c>
      <c r="AW35" s="126">
        <f t="shared" si="34"/>
        <v>611939.6</v>
      </c>
      <c r="AX35" s="119">
        <v>0.70112735770894385</v>
      </c>
      <c r="AY35" s="58">
        <f t="shared" si="35"/>
        <v>872793.78456949606</v>
      </c>
      <c r="AZ35" s="127">
        <f t="shared" si="22"/>
        <v>6.4338468638804422E-2</v>
      </c>
      <c r="BA35" s="58">
        <f t="shared" si="11"/>
        <v>70.112735770894389</v>
      </c>
      <c r="BB35" s="58"/>
      <c r="BC35" s="119">
        <f t="shared" si="12"/>
        <v>589108.6</v>
      </c>
      <c r="BD35" s="58"/>
      <c r="BE35" s="119">
        <v>-36380.149999999674</v>
      </c>
      <c r="BF35" s="119">
        <v>88571</v>
      </c>
      <c r="BG35" s="122">
        <v>901981</v>
      </c>
      <c r="BH35" s="119">
        <f t="shared" si="13"/>
        <v>8.3996759724484379E-2</v>
      </c>
      <c r="BI35" s="119">
        <f t="shared" si="36"/>
        <v>9.7094365876384259E-3</v>
      </c>
      <c r="BJ35" s="119">
        <v>610.70000000000005</v>
      </c>
      <c r="BK35" s="124"/>
      <c r="BL35" s="119">
        <v>577743</v>
      </c>
      <c r="BM35" s="119">
        <f t="shared" si="23"/>
        <v>1.0169642801123513</v>
      </c>
      <c r="BN35" s="119">
        <f t="shared" si="14"/>
        <v>1.2040647415854329</v>
      </c>
      <c r="BO35" s="119">
        <v>1.0295165696638522</v>
      </c>
      <c r="BP35" s="119">
        <f t="shared" si="15"/>
        <v>1.7517419487520041E-2</v>
      </c>
      <c r="BQ35" s="119">
        <f t="shared" si="16"/>
        <v>6.7123262441674325E-2</v>
      </c>
      <c r="BR35" s="119">
        <f t="shared" si="24"/>
        <v>0.14036515352667991</v>
      </c>
      <c r="BS35" s="119">
        <f t="shared" si="17"/>
        <v>-1132.5274605627567</v>
      </c>
      <c r="BT35" s="124">
        <f t="shared" si="18"/>
        <v>-9.0689524838577697E-3</v>
      </c>
      <c r="BW35" s="59">
        <v>1039000</v>
      </c>
      <c r="BZ35" s="124">
        <f t="shared" si="42"/>
        <v>9.6756620542715721E-2</v>
      </c>
      <c r="CB35" s="145">
        <v>-6.9239470661693336E-2</v>
      </c>
      <c r="CC35" s="145">
        <v>9.7094365876384259E-3</v>
      </c>
      <c r="CD35" s="145">
        <v>1.2283083990338856E-2</v>
      </c>
      <c r="CE35" s="124">
        <v>-1.4594939854625118E-2</v>
      </c>
      <c r="CF35" s="146">
        <v>-1.9856164580878588E-3</v>
      </c>
      <c r="CG35" s="124">
        <f t="shared" si="26"/>
        <v>-8.7549317708491142E-2</v>
      </c>
      <c r="CH35" s="146">
        <v>0.17811484290357549</v>
      </c>
      <c r="CI35" s="124">
        <v>5.6882923937488061E-2</v>
      </c>
      <c r="CJ35" s="117">
        <v>1.0169642801123513</v>
      </c>
      <c r="CK35" s="145">
        <f t="shared" si="37"/>
        <v>1.6964280112351293E-2</v>
      </c>
      <c r="CL35" s="120">
        <v>-389.9</v>
      </c>
      <c r="CM35" s="207"/>
      <c r="CN35" s="207">
        <v>610.70000000000005</v>
      </c>
      <c r="CO35" s="124"/>
      <c r="CP35" s="124"/>
      <c r="CQ35" s="124"/>
      <c r="CR35" s="124"/>
      <c r="CS35" s="124"/>
      <c r="CT35" s="124"/>
      <c r="CU35" s="124"/>
      <c r="CV35" s="124"/>
      <c r="CW35" s="124"/>
      <c r="CX35" s="124"/>
      <c r="CY35" s="124"/>
      <c r="CZ35" s="124"/>
      <c r="DA35" s="124"/>
      <c r="DB35" s="124"/>
      <c r="DH35" s="124"/>
      <c r="DI35" s="124"/>
    </row>
    <row r="36" spans="1:133" s="119" customFormat="1">
      <c r="A36" s="117">
        <v>1993</v>
      </c>
      <c r="B36" s="145">
        <v>2.2603978300180794E-2</v>
      </c>
      <c r="D36" s="145">
        <f>AVERAGE(B26:B39)</f>
        <v>5.3623041044107866E-2</v>
      </c>
      <c r="E36" s="145"/>
      <c r="F36" s="145"/>
      <c r="G36" s="145"/>
      <c r="H36" s="120">
        <v>1633.2410481633262</v>
      </c>
      <c r="I36" s="120">
        <f t="shared" si="27"/>
        <v>253.31013426985626</v>
      </c>
      <c r="J36" s="280">
        <f t="shared" si="28"/>
        <v>2.4039712367109445E-2</v>
      </c>
      <c r="K36" s="223"/>
      <c r="L36" s="223"/>
      <c r="M36" s="223">
        <f t="shared" si="41"/>
        <v>1.3223116877783944E-5</v>
      </c>
      <c r="N36" s="223"/>
      <c r="O36" s="120">
        <v>672.81519284491048</v>
      </c>
      <c r="P36" s="203">
        <f t="shared" si="29"/>
        <v>1.0031357718270206</v>
      </c>
      <c r="Q36" s="160">
        <f t="shared" si="30"/>
        <v>2.4039712367109445E-2</v>
      </c>
      <c r="R36" s="160">
        <v>2.8380273290812719E-2</v>
      </c>
      <c r="S36" s="145">
        <f>AVERAGE(Q34:Q46)</f>
        <v>-1.0802163281216338E-3</v>
      </c>
      <c r="T36" s="117">
        <v>112.7130375587937</v>
      </c>
      <c r="U36" s="117">
        <v>1217.4939999999999</v>
      </c>
      <c r="V36" s="117"/>
      <c r="W36" s="119">
        <v>1822</v>
      </c>
      <c r="X36" s="124">
        <f t="shared" si="40"/>
        <v>0.13874999999999993</v>
      </c>
      <c r="Y36" s="119">
        <v>12645361.493907506</v>
      </c>
      <c r="Z36" s="117">
        <v>14235309.638271177</v>
      </c>
      <c r="AA36" s="119">
        <v>0.97394789579158325</v>
      </c>
      <c r="AB36" s="119">
        <f t="shared" si="0"/>
        <v>1250.0607119341562</v>
      </c>
      <c r="AC36" s="119">
        <f t="shared" ref="AC36:AC57" si="43">+AB36*$W$37</f>
        <v>2398866.5062016458</v>
      </c>
      <c r="AD36" s="119">
        <f t="shared" si="2"/>
        <v>0.16851523199413729</v>
      </c>
      <c r="AE36" s="119">
        <f t="shared" si="32"/>
        <v>-1.7851667015999245E-2</v>
      </c>
      <c r="AF36" s="119">
        <f t="shared" si="3"/>
        <v>2218274.068</v>
      </c>
      <c r="AG36" s="145">
        <f t="shared" si="4"/>
        <v>0.1754219576141621</v>
      </c>
      <c r="AH36" s="119">
        <f t="shared" si="5"/>
        <v>0.1754219576141621</v>
      </c>
      <c r="AI36" s="120">
        <v>117.50355964846948</v>
      </c>
      <c r="AJ36" s="122">
        <f>+'Base_Budget Constraint'!T58/'Base_Budget Constraint'!$T$60</f>
        <v>1.1751195847563531</v>
      </c>
      <c r="AK36" s="119">
        <v>199412</v>
      </c>
      <c r="AL36" s="58">
        <v>76</v>
      </c>
      <c r="AM36" s="119">
        <v>83.823999999999998</v>
      </c>
      <c r="AN36" s="58">
        <f t="shared" si="6"/>
        <v>152.727328</v>
      </c>
      <c r="AO36" s="58">
        <f t="shared" si="7"/>
        <v>228.727328</v>
      </c>
      <c r="AP36" s="121">
        <f t="shared" si="33"/>
        <v>199640.72732800001</v>
      </c>
      <c r="AQ36" s="125">
        <f t="shared" si="21"/>
        <v>1.5787664704104053E-2</v>
      </c>
      <c r="AR36" s="119">
        <v>148.93899999999999</v>
      </c>
      <c r="AS36" s="119">
        <f t="shared" si="8"/>
        <v>152.9229650205761</v>
      </c>
      <c r="AT36" s="124">
        <f t="shared" ref="AT36:AT59" si="44">+AS36*$W$37/Z36</f>
        <v>2.0614877886851853E-2</v>
      </c>
      <c r="AU36" s="119">
        <f t="shared" si="10"/>
        <v>271366.85800000001</v>
      </c>
      <c r="AV36" s="58">
        <v>2004</v>
      </c>
      <c r="AW36" s="126">
        <f t="shared" si="34"/>
        <v>273370.85800000001</v>
      </c>
      <c r="AX36" s="119">
        <v>0.82913074035346346</v>
      </c>
      <c r="AY36" s="58">
        <f t="shared" si="35"/>
        <v>329707.78273576056</v>
      </c>
      <c r="AZ36" s="127">
        <f t="shared" si="22"/>
        <v>2.3161265270222973E-2</v>
      </c>
      <c r="BA36" s="58">
        <f t="shared" ref="BA36:BA57" si="45">+AX36/$AX$37*100</f>
        <v>82.913074035346341</v>
      </c>
      <c r="BB36" s="58"/>
      <c r="BC36" s="119">
        <f t="shared" si="12"/>
        <v>71954.857999999993</v>
      </c>
      <c r="BD36" s="58"/>
      <c r="BE36" s="119">
        <v>54739.449999999721</v>
      </c>
      <c r="BF36" s="119">
        <v>95436</v>
      </c>
      <c r="BG36" s="122">
        <v>1053311</v>
      </c>
      <c r="BH36" s="119">
        <f t="shared" ref="BH36:BH57" si="46">+BG36/Y36</f>
        <v>8.3296234789925289E-2</v>
      </c>
      <c r="BI36" s="119">
        <f t="shared" si="36"/>
        <v>-7.0052493455909082E-4</v>
      </c>
      <c r="BJ36" s="119">
        <v>697.7</v>
      </c>
      <c r="BK36" s="124"/>
      <c r="BL36" s="119">
        <v>698486</v>
      </c>
      <c r="BM36" s="119">
        <f t="shared" si="23"/>
        <v>1.0493635941476549</v>
      </c>
      <c r="BN36" s="119">
        <f t="shared" ref="BN36:BN56" si="47">+B60+1</f>
        <v>1.1827694187733904</v>
      </c>
      <c r="BO36" s="119">
        <v>1.0260744159215469</v>
      </c>
      <c r="BP36" s="119">
        <f t="shared" ref="BP36:BP56" si="48">+BH36*(1-(1/(BM37*BN36)))</f>
        <v>1.6427513273769595E-2</v>
      </c>
      <c r="BQ36" s="119">
        <f t="shared" ref="BQ36:BQ56" si="49">+AM37/U36</f>
        <v>6.8013476863130334E-2</v>
      </c>
      <c r="BR36" s="119">
        <f t="shared" si="24"/>
        <v>6.2114348433614609E-2</v>
      </c>
      <c r="BS36" s="119">
        <f t="shared" ref="BS36:BS56" si="50">+((BR36*AB36)-AB36)</f>
        <v>-1172.4140053099056</v>
      </c>
      <c r="BT36" s="124">
        <f t="shared" ref="BT36:BT56" si="51">+BS36*AI38/Z37</f>
        <v>-7.8200911643364519E-3</v>
      </c>
      <c r="BW36" s="59">
        <v>1186000</v>
      </c>
      <c r="BZ36" s="124">
        <f t="shared" si="42"/>
        <v>9.3789331413847751E-2</v>
      </c>
      <c r="CB36" s="145">
        <v>-1.7851667015999245E-2</v>
      </c>
      <c r="CC36" s="145">
        <v>-7.0052493455909082E-4</v>
      </c>
      <c r="CD36" s="145">
        <v>1.7517419487520041E-2</v>
      </c>
      <c r="CE36" s="124">
        <v>-9.0689524838577697E-3</v>
      </c>
      <c r="CF36" s="146">
        <v>-1.5787664704104053E-2</v>
      </c>
      <c r="CG36" s="124">
        <f t="shared" si="26"/>
        <v>3.2069668380716732E-3</v>
      </c>
      <c r="CH36" s="146">
        <v>0.20406474158543286</v>
      </c>
      <c r="CI36" s="124">
        <v>2.0614877886851853E-2</v>
      </c>
      <c r="CJ36" s="117">
        <v>1.0493635941476549</v>
      </c>
      <c r="CK36" s="145">
        <f t="shared" si="37"/>
        <v>4.9363594147654899E-2</v>
      </c>
      <c r="CL36" s="120">
        <v>-834</v>
      </c>
      <c r="CM36" s="207"/>
      <c r="CN36" s="207">
        <v>697.7</v>
      </c>
      <c r="CO36" s="124"/>
      <c r="CP36" s="124"/>
      <c r="CQ36" s="124"/>
      <c r="CR36" s="124"/>
      <c r="CS36" s="124"/>
      <c r="CT36" s="124"/>
      <c r="CU36" s="124"/>
      <c r="CV36" s="124"/>
      <c r="CW36" s="124"/>
      <c r="CX36" s="124"/>
      <c r="CY36" s="124"/>
      <c r="CZ36" s="124"/>
      <c r="DA36" s="124"/>
      <c r="DB36" s="124"/>
      <c r="DH36" s="124"/>
      <c r="DI36" s="124"/>
    </row>
    <row r="37" spans="1:133" s="119" customFormat="1">
      <c r="A37" s="117">
        <v>1994</v>
      </c>
      <c r="B37" s="145">
        <v>6.2776304155614637E-2</v>
      </c>
      <c r="D37" s="145">
        <f>AVERAGE(B26:B39)</f>
        <v>5.3623041044107866E-2</v>
      </c>
      <c r="E37" s="145"/>
      <c r="F37" s="145"/>
      <c r="G37" s="145"/>
      <c r="H37" s="120">
        <v>1679.5928754599747</v>
      </c>
      <c r="I37" s="120">
        <f t="shared" si="27"/>
        <v>260.49914510776722</v>
      </c>
      <c r="J37" s="280">
        <f t="shared" si="28"/>
        <v>2.8380273290812719E-2</v>
      </c>
      <c r="K37" s="223"/>
      <c r="L37" s="223"/>
      <c r="M37" s="223">
        <f t="shared" si="41"/>
        <v>1.3223116877783944E-5</v>
      </c>
      <c r="N37" s="223"/>
      <c r="O37" s="120">
        <v>677.78576845499822</v>
      </c>
      <c r="P37" s="203">
        <f t="shared" si="29"/>
        <v>1.0073877279570194</v>
      </c>
      <c r="Q37" s="160">
        <f t="shared" si="30"/>
        <v>2.8380273290812719E-2</v>
      </c>
      <c r="R37" s="160">
        <v>4.3721458290122417E-2</v>
      </c>
      <c r="S37" s="145">
        <f>AVERAGE(Q34:Q46)</f>
        <v>-1.0802163281216338E-3</v>
      </c>
      <c r="T37" s="117">
        <v>113.54573081748735</v>
      </c>
      <c r="U37" s="117">
        <v>1240.2619999999999</v>
      </c>
      <c r="V37" s="117"/>
      <c r="W37" s="119">
        <v>1919</v>
      </c>
      <c r="X37" s="124">
        <f t="shared" si="40"/>
        <v>5.323819978046096E-2</v>
      </c>
      <c r="Y37" s="119">
        <v>14992331.683506493</v>
      </c>
      <c r="Z37" s="117">
        <v>14992331.683506493</v>
      </c>
      <c r="AA37" s="119">
        <v>1</v>
      </c>
      <c r="AB37" s="119">
        <f t="shared" si="0"/>
        <v>1240.2619999999999</v>
      </c>
      <c r="AC37" s="119">
        <f t="shared" si="43"/>
        <v>2380062.7779999999</v>
      </c>
      <c r="AD37" s="119">
        <f t="shared" si="2"/>
        <v>0.15875200924339056</v>
      </c>
      <c r="AE37" s="119">
        <f t="shared" si="32"/>
        <v>-9.7632227507467306E-3</v>
      </c>
      <c r="AF37" s="119">
        <f t="shared" si="3"/>
        <v>2380062.7779999999</v>
      </c>
      <c r="AG37" s="145">
        <f t="shared" si="4"/>
        <v>0.15875200924339056</v>
      </c>
      <c r="AH37" s="119">
        <f t="shared" si="5"/>
        <v>0.15875200924339056</v>
      </c>
      <c r="AI37" s="120">
        <v>113.99224407179844</v>
      </c>
      <c r="AJ37" s="122">
        <f>+'Base_Budget Constraint'!T59/'Base_Budget Constraint'!$T$60</f>
        <v>1.0511958964912866</v>
      </c>
      <c r="AK37" s="119">
        <v>429355</v>
      </c>
      <c r="AL37" s="58">
        <v>0</v>
      </c>
      <c r="AM37" s="119">
        <v>82.805999999999997</v>
      </c>
      <c r="AN37" s="58">
        <f t="shared" si="6"/>
        <v>158.90471400000001</v>
      </c>
      <c r="AO37" s="58">
        <f t="shared" si="7"/>
        <v>158.90471400000001</v>
      </c>
      <c r="AP37" s="121">
        <f t="shared" si="33"/>
        <v>429513.904714</v>
      </c>
      <c r="AQ37" s="125">
        <f t="shared" si="21"/>
        <v>2.8648906239615881E-2</v>
      </c>
      <c r="AR37" s="119">
        <v>139.38800000000001</v>
      </c>
      <c r="AS37" s="119">
        <f t="shared" si="8"/>
        <v>139.38800000000001</v>
      </c>
      <c r="AT37" s="124">
        <f t="shared" si="44"/>
        <v>1.784149241403649E-2</v>
      </c>
      <c r="AU37" s="119">
        <f t="shared" si="10"/>
        <v>267485.57199999999</v>
      </c>
      <c r="AV37" s="58">
        <v>4</v>
      </c>
      <c r="AW37" s="126">
        <f t="shared" si="34"/>
        <v>267489.57199999999</v>
      </c>
      <c r="AX37" s="119">
        <v>1</v>
      </c>
      <c r="AY37" s="58">
        <f t="shared" si="35"/>
        <v>267489.57199999999</v>
      </c>
      <c r="AZ37" s="127">
        <f t="shared" si="22"/>
        <v>1.7841759217098511E-2</v>
      </c>
      <c r="BA37" s="58">
        <f t="shared" si="45"/>
        <v>100</v>
      </c>
      <c r="BB37" s="58"/>
      <c r="BC37" s="119">
        <f t="shared" si="12"/>
        <v>-161869.42800000001</v>
      </c>
      <c r="BD37" s="58"/>
      <c r="BE37" s="119">
        <v>198702.1</v>
      </c>
      <c r="BF37" s="119">
        <v>59172</v>
      </c>
      <c r="BG37" s="122">
        <v>1342253</v>
      </c>
      <c r="BH37" s="119">
        <f t="shared" si="46"/>
        <v>8.9529302601852934E-2</v>
      </c>
      <c r="BI37" s="119">
        <f t="shared" si="36"/>
        <v>6.233067811927645E-3</v>
      </c>
      <c r="BJ37" s="119">
        <v>1044.0999999999999</v>
      </c>
      <c r="BK37" s="124"/>
      <c r="BL37" s="119">
        <v>870031</v>
      </c>
      <c r="BM37" s="119">
        <f t="shared" ref="BM37:BM57" si="52">+Z37/Z36</f>
        <v>1.0531791766018272</v>
      </c>
      <c r="BN37" s="119">
        <f t="shared" si="47"/>
        <v>1.1053315994798441</v>
      </c>
      <c r="BO37" s="119">
        <v>1.0280541968853647</v>
      </c>
      <c r="BP37" s="119">
        <f t="shared" si="48"/>
        <v>1.3704966510492729E-2</v>
      </c>
      <c r="BQ37" s="119">
        <f t="shared" si="49"/>
        <v>5.2099475755928992E-2</v>
      </c>
      <c r="BR37" s="119">
        <f t="shared" ref="BR37:BR56" si="53">+BQ36/(BM38*BO37)</f>
        <v>6.1931980308376648E-2</v>
      </c>
      <c r="BS37" s="119">
        <f t="shared" si="50"/>
        <v>-1163.4501182387721</v>
      </c>
      <c r="BT37" s="124">
        <f t="shared" si="51"/>
        <v>-6.7366091907460745E-3</v>
      </c>
      <c r="BW37" s="59">
        <v>1271000</v>
      </c>
      <c r="BZ37" s="124">
        <f t="shared" si="42"/>
        <v>8.4776672957300209E-2</v>
      </c>
      <c r="CB37" s="145">
        <v>-9.7632227507467306E-3</v>
      </c>
      <c r="CC37" s="145">
        <v>6.233067811927645E-3</v>
      </c>
      <c r="CD37" s="145">
        <v>1.6427513273769595E-2</v>
      </c>
      <c r="CE37" s="124">
        <v>-7.8200911643364519E-3</v>
      </c>
      <c r="CF37" s="146">
        <v>-2.8648906239615881E-2</v>
      </c>
      <c r="CG37" s="124">
        <f t="shared" ref="CG37:CG56" si="54">+CB37+CC37+CD37-CF37-CE37-CI37</f>
        <v>3.1524863324866356E-2</v>
      </c>
      <c r="CH37" s="146">
        <v>0.18276941877339037</v>
      </c>
      <c r="CI37" s="124">
        <v>1.784149241403649E-2</v>
      </c>
      <c r="CJ37" s="117">
        <v>1.0531791766018272</v>
      </c>
      <c r="CK37" s="145">
        <f t="shared" si="37"/>
        <v>5.3179176601827249E-2</v>
      </c>
      <c r="CL37" s="120">
        <v>-1060</v>
      </c>
      <c r="CM37" s="207"/>
      <c r="CN37" s="207">
        <v>1044.0999999999999</v>
      </c>
      <c r="CO37" s="124"/>
      <c r="CP37" s="124"/>
      <c r="CQ37" s="124"/>
      <c r="CR37" s="124"/>
      <c r="CS37" s="124"/>
      <c r="CT37" s="124"/>
      <c r="CU37" s="124"/>
      <c r="CV37" s="124"/>
      <c r="CW37" s="124"/>
      <c r="CX37" s="124"/>
      <c r="CY37" s="124"/>
      <c r="CZ37" s="124"/>
      <c r="DA37" s="124"/>
      <c r="DB37" s="124"/>
      <c r="DH37" s="124"/>
      <c r="DI37" s="124"/>
    </row>
    <row r="38" spans="1:133" s="119" customFormat="1">
      <c r="A38" s="117">
        <v>1995</v>
      </c>
      <c r="B38" s="145">
        <v>9.4841930116472462E-2</v>
      </c>
      <c r="D38" s="145">
        <f>AVERAGE(B26:B39)</f>
        <v>5.3623041044107866E-2</v>
      </c>
      <c r="E38" s="145"/>
      <c r="F38" s="145"/>
      <c r="G38" s="145"/>
      <c r="H38" s="120">
        <v>1753.0271253087849</v>
      </c>
      <c r="I38" s="120">
        <f t="shared" si="27"/>
        <v>271.88854761520906</v>
      </c>
      <c r="J38" s="280">
        <f t="shared" si="28"/>
        <v>4.3721458290122417E-2</v>
      </c>
      <c r="K38" s="223"/>
      <c r="L38" s="223"/>
      <c r="M38" s="223">
        <f t="shared" si="41"/>
        <v>1.3223116877783944E-5</v>
      </c>
      <c r="N38" s="223"/>
      <c r="O38" s="120">
        <v>692.97884485029294</v>
      </c>
      <c r="P38" s="203">
        <f t="shared" si="29"/>
        <v>1.0224157500826951</v>
      </c>
      <c r="Q38" s="160">
        <f t="shared" si="30"/>
        <v>4.3721458290122417E-2</v>
      </c>
      <c r="R38" s="160">
        <v>-6.9494826735557735E-3</v>
      </c>
      <c r="S38" s="145">
        <f>AVERAGE(Q34:Q46)</f>
        <v>-1.0802163281216338E-3</v>
      </c>
      <c r="T38" s="117">
        <v>116.09094354244914</v>
      </c>
      <c r="U38" s="117">
        <v>1406.789</v>
      </c>
      <c r="V38" s="117"/>
      <c r="W38" s="119">
        <v>1977</v>
      </c>
      <c r="X38" s="124">
        <f t="shared" si="40"/>
        <v>3.0224075039082754E-2</v>
      </c>
      <c r="Y38" s="119">
        <v>17789145.328094486</v>
      </c>
      <c r="Z38" s="117">
        <v>16015230.034361625</v>
      </c>
      <c r="AA38" s="119">
        <v>1.0253841015364062</v>
      </c>
      <c r="AB38" s="119">
        <f t="shared" si="0"/>
        <v>1371.9629530944624</v>
      </c>
      <c r="AC38" s="119">
        <f t="shared" si="43"/>
        <v>2632796.9069882734</v>
      </c>
      <c r="AD38" s="119">
        <f t="shared" si="2"/>
        <v>0.1643933244380163</v>
      </c>
      <c r="AE38" s="119">
        <f t="shared" si="32"/>
        <v>5.64131519462574E-3</v>
      </c>
      <c r="AF38" s="119">
        <f t="shared" si="3"/>
        <v>2781221.8530000001</v>
      </c>
      <c r="AG38" s="145">
        <f t="shared" si="4"/>
        <v>0.15634375916911547</v>
      </c>
      <c r="AH38" s="119">
        <f t="shared" si="5"/>
        <v>0.15634375916911547</v>
      </c>
      <c r="AI38" s="120">
        <v>100</v>
      </c>
      <c r="AJ38" s="122">
        <f>+'Base_Budget Constraint'!T60/'Base_Budget Constraint'!$T$60</f>
        <v>1</v>
      </c>
      <c r="AK38" s="119">
        <v>193567</v>
      </c>
      <c r="AL38" s="58">
        <v>14604</v>
      </c>
      <c r="AM38" s="119">
        <v>64.617000000000004</v>
      </c>
      <c r="AN38" s="58">
        <f t="shared" si="6"/>
        <v>127.747809</v>
      </c>
      <c r="AO38" s="58">
        <f t="shared" si="7"/>
        <v>14731.747809</v>
      </c>
      <c r="AP38" s="121">
        <f t="shared" si="33"/>
        <v>208298.74780899999</v>
      </c>
      <c r="AQ38" s="125">
        <f t="shared" si="21"/>
        <v>1.17093173374683E-2</v>
      </c>
      <c r="AR38" s="119">
        <v>138.09800000000001</v>
      </c>
      <c r="AS38" s="119">
        <f t="shared" si="8"/>
        <v>134.67928729641693</v>
      </c>
      <c r="AT38" s="124">
        <f t="shared" si="44"/>
        <v>1.6137735878117596E-2</v>
      </c>
      <c r="AU38" s="119">
        <f t="shared" si="10"/>
        <v>273019.74600000004</v>
      </c>
      <c r="AV38" s="58">
        <v>40797</v>
      </c>
      <c r="AW38" s="126">
        <f t="shared" si="34"/>
        <v>313816.74600000004</v>
      </c>
      <c r="AX38" s="119">
        <v>1.1339193399688141</v>
      </c>
      <c r="AY38" s="58">
        <f t="shared" si="35"/>
        <v>276754.02909049147</v>
      </c>
      <c r="AZ38" s="127">
        <f t="shared" si="22"/>
        <v>1.7280677735923823E-2</v>
      </c>
      <c r="BA38" s="58">
        <f t="shared" si="45"/>
        <v>113.39193399688141</v>
      </c>
      <c r="BB38" s="58"/>
      <c r="BC38" s="119">
        <f t="shared" si="12"/>
        <v>79452.746000000043</v>
      </c>
      <c r="BD38" s="58"/>
      <c r="BE38" s="119">
        <v>-24175</v>
      </c>
      <c r="BF38" s="119">
        <v>213403</v>
      </c>
      <c r="BG38" s="122">
        <v>1650909</v>
      </c>
      <c r="BH38" s="119">
        <f t="shared" si="46"/>
        <v>9.2804289894282396E-2</v>
      </c>
      <c r="BI38" s="119">
        <f t="shared" si="36"/>
        <v>3.2749872924294626E-3</v>
      </c>
      <c r="BJ38" s="119">
        <v>1106.5</v>
      </c>
      <c r="BK38" s="124"/>
      <c r="BL38" s="119">
        <v>1035739</v>
      </c>
      <c r="BM38" s="119">
        <f t="shared" si="52"/>
        <v>1.0682281030361978</v>
      </c>
      <c r="BN38" s="119">
        <f t="shared" si="47"/>
        <v>1.081764705882353</v>
      </c>
      <c r="BO38" s="119">
        <v>1.0293120419993449</v>
      </c>
      <c r="BP38" s="119">
        <f t="shared" si="48"/>
        <v>8.3437977899833687E-3</v>
      </c>
      <c r="BQ38" s="119">
        <f t="shared" si="49"/>
        <v>4.2619042372381365E-2</v>
      </c>
      <c r="BR38" s="119">
        <f t="shared" si="53"/>
        <v>4.9831580630099757E-2</v>
      </c>
      <c r="BS38" s="119">
        <f t="shared" si="50"/>
        <v>-1303.595870575826</v>
      </c>
      <c r="BT38" s="124">
        <f t="shared" si="51"/>
        <v>-7.3786453673033246E-3</v>
      </c>
      <c r="BW38" s="59">
        <v>1280000</v>
      </c>
      <c r="BZ38" s="124">
        <f t="shared" si="42"/>
        <v>7.1953990840610521E-2</v>
      </c>
      <c r="CB38" s="145">
        <v>5.64131519462574E-3</v>
      </c>
      <c r="CC38" s="145">
        <v>3.2749872924294626E-3</v>
      </c>
      <c r="CD38" s="145">
        <v>1.3704966510492729E-2</v>
      </c>
      <c r="CE38" s="124">
        <v>-6.7366091907460745E-3</v>
      </c>
      <c r="CF38" s="146">
        <v>-1.17093173374683E-2</v>
      </c>
      <c r="CG38" s="124">
        <f t="shared" si="54"/>
        <v>2.4929459647644713E-2</v>
      </c>
      <c r="CH38" s="146">
        <v>0.10533159947984405</v>
      </c>
      <c r="CI38" s="124">
        <v>1.6137735878117596E-2</v>
      </c>
      <c r="CJ38" s="117">
        <v>1.0682281030361978</v>
      </c>
      <c r="CK38" s="145">
        <f t="shared" si="37"/>
        <v>6.8228103036197751E-2</v>
      </c>
      <c r="CL38" s="120">
        <v>-92.3392565664183</v>
      </c>
      <c r="CM38" s="207"/>
      <c r="CN38" s="207">
        <v>1106.5</v>
      </c>
      <c r="CO38" s="124"/>
      <c r="CP38" s="124"/>
      <c r="CQ38" s="124"/>
      <c r="CR38" s="124"/>
      <c r="CS38" s="124"/>
      <c r="CT38" s="124"/>
      <c r="CU38" s="124"/>
      <c r="CV38" s="124"/>
      <c r="CW38" s="124"/>
      <c r="CX38" s="124"/>
      <c r="CY38" s="124"/>
      <c r="CZ38" s="124"/>
      <c r="DA38" s="124"/>
      <c r="DB38" s="124"/>
      <c r="DH38" s="124"/>
      <c r="DI38" s="124"/>
    </row>
    <row r="39" spans="1:133" s="119" customFormat="1">
      <c r="A39" s="117">
        <v>1996</v>
      </c>
      <c r="B39" s="145">
        <v>0.14133738601823698</v>
      </c>
      <c r="D39" s="145">
        <f>AVERAGE(B26:B39)</f>
        <v>5.3623041044107866E-2</v>
      </c>
      <c r="E39" s="145"/>
      <c r="F39" s="145"/>
      <c r="G39" s="145"/>
      <c r="H39" s="120">
        <v>1740.8444936751782</v>
      </c>
      <c r="I39" s="120">
        <f t="shared" si="27"/>
        <v>269.99906286441893</v>
      </c>
      <c r="J39" s="280">
        <f t="shared" si="28"/>
        <v>-6.9494826735557735E-3</v>
      </c>
      <c r="K39" s="223"/>
      <c r="L39" s="223"/>
      <c r="M39" s="223">
        <f t="shared" si="41"/>
        <v>1.3223116877783944E-5</v>
      </c>
      <c r="N39" s="223"/>
      <c r="O39" s="120">
        <v>674.11538262332977</v>
      </c>
      <c r="P39" s="203">
        <f t="shared" si="29"/>
        <v>0.97277916581849144</v>
      </c>
      <c r="Q39" s="160">
        <f t="shared" si="30"/>
        <v>-6.9494826735557735E-3</v>
      </c>
      <c r="R39" s="160">
        <v>1.9712245367282888E-2</v>
      </c>
      <c r="S39" s="145">
        <f>AVERAGE(Q34:Q46)</f>
        <v>-1.0802163281216338E-3</v>
      </c>
      <c r="T39" s="117">
        <v>112.93085121830526</v>
      </c>
      <c r="U39" s="117">
        <v>1398.865</v>
      </c>
      <c r="V39" s="117"/>
      <c r="W39" s="119">
        <v>2110</v>
      </c>
      <c r="X39" s="124">
        <f t="shared" si="40"/>
        <v>6.7273646939807863E-2</v>
      </c>
      <c r="Y39" s="119">
        <v>20132862.098148197</v>
      </c>
      <c r="Z39" s="117">
        <v>16267275.343454966</v>
      </c>
      <c r="AA39" s="119">
        <v>1.0594522378089513</v>
      </c>
      <c r="AB39" s="119">
        <f t="shared" si="0"/>
        <v>1320.3662704918033</v>
      </c>
      <c r="AC39" s="119">
        <f t="shared" si="43"/>
        <v>2533782.8730737707</v>
      </c>
      <c r="AD39" s="119">
        <f t="shared" si="2"/>
        <v>0.1557595122463592</v>
      </c>
      <c r="AE39" s="119">
        <f t="shared" si="32"/>
        <v>-8.6338121916570976E-3</v>
      </c>
      <c r="AF39" s="119">
        <f t="shared" si="3"/>
        <v>2951605.15</v>
      </c>
      <c r="AG39" s="145">
        <f t="shared" si="4"/>
        <v>0.1466063362283441</v>
      </c>
      <c r="AH39" s="119">
        <f t="shared" si="5"/>
        <v>0.1466063362283441</v>
      </c>
      <c r="AI39" s="120">
        <v>92.731389296443751</v>
      </c>
      <c r="AJ39" s="122">
        <f>+'Base_Budget Constraint'!T61/'Base_Budget Constraint'!$T$60</f>
        <v>1.0078167499279178</v>
      </c>
      <c r="AK39" s="119">
        <v>191595</v>
      </c>
      <c r="AL39" s="58">
        <v>10534</v>
      </c>
      <c r="AM39" s="119">
        <v>59.956000000000003</v>
      </c>
      <c r="AN39" s="58">
        <f t="shared" si="6"/>
        <v>126.50716</v>
      </c>
      <c r="AO39" s="58">
        <f t="shared" si="7"/>
        <v>10660.507159999999</v>
      </c>
      <c r="AP39" s="121">
        <f t="shared" si="33"/>
        <v>202255.50716000001</v>
      </c>
      <c r="AQ39" s="125">
        <f t="shared" si="21"/>
        <v>1.0046038470536353E-2</v>
      </c>
      <c r="AR39" s="119">
        <v>124.459</v>
      </c>
      <c r="AS39" s="119">
        <f t="shared" si="8"/>
        <v>117.47485687263556</v>
      </c>
      <c r="AT39" s="124">
        <f t="shared" si="44"/>
        <v>1.3858144377527221E-2</v>
      </c>
      <c r="AU39" s="119">
        <f t="shared" si="10"/>
        <v>262608.49</v>
      </c>
      <c r="AV39" s="58">
        <v>53366</v>
      </c>
      <c r="AW39" s="126">
        <f t="shared" si="34"/>
        <v>315974.49</v>
      </c>
      <c r="AX39" s="119">
        <v>1.2450157043444687</v>
      </c>
      <c r="AY39" s="58">
        <f t="shared" si="35"/>
        <v>253791.56977491162</v>
      </c>
      <c r="AZ39" s="127">
        <f t="shared" si="22"/>
        <v>1.5601356983056355E-2</v>
      </c>
      <c r="BA39" s="58">
        <f t="shared" si="45"/>
        <v>124.50157043444688</v>
      </c>
      <c r="BB39" s="58"/>
      <c r="BC39" s="119">
        <f t="shared" si="12"/>
        <v>71013.489999999976</v>
      </c>
      <c r="BD39" s="58"/>
      <c r="BE39" s="119">
        <v>-194043.62599999923</v>
      </c>
      <c r="BF39" s="119">
        <v>189684</v>
      </c>
      <c r="BG39" s="122">
        <v>1703493</v>
      </c>
      <c r="BH39" s="119">
        <f t="shared" si="46"/>
        <v>8.4612559888178326E-2</v>
      </c>
      <c r="BI39" s="119">
        <f t="shared" si="36"/>
        <v>-8.1917300061040699E-3</v>
      </c>
      <c r="BJ39" s="119">
        <v>1062.25</v>
      </c>
      <c r="BK39" s="124"/>
      <c r="BL39" s="119">
        <v>1094087</v>
      </c>
      <c r="BM39" s="119">
        <f t="shared" si="52"/>
        <v>1.0157378513173125</v>
      </c>
      <c r="BN39" s="119">
        <f t="shared" si="47"/>
        <v>1.0619902120717781</v>
      </c>
      <c r="BO39" s="119">
        <v>1.0233768993730763</v>
      </c>
      <c r="BP39" s="119">
        <f t="shared" si="48"/>
        <v>8.1815786758147029E-3</v>
      </c>
      <c r="BQ39" s="119">
        <f t="shared" si="49"/>
        <v>4.176242882622698E-2</v>
      </c>
      <c r="BR39" s="119">
        <f t="shared" si="53"/>
        <v>3.9950589522542782E-2</v>
      </c>
      <c r="BS39" s="119">
        <f t="shared" si="50"/>
        <v>-1267.6168595999745</v>
      </c>
      <c r="BT39" s="124">
        <f t="shared" si="51"/>
        <v>-7.2308921451305179E-3</v>
      </c>
      <c r="BW39" s="59">
        <v>1357000</v>
      </c>
      <c r="BZ39" s="124">
        <f t="shared" si="42"/>
        <v>6.7402239849684145E-2</v>
      </c>
      <c r="CB39" s="145">
        <v>-8.6338121916570976E-3</v>
      </c>
      <c r="CC39" s="145">
        <v>-8.1917300061040699E-3</v>
      </c>
      <c r="CD39" s="145">
        <v>8.3437977899833687E-3</v>
      </c>
      <c r="CE39" s="124">
        <v>-7.3786453673033246E-3</v>
      </c>
      <c r="CF39" s="146">
        <v>-1.0046038470536353E-2</v>
      </c>
      <c r="CG39" s="124">
        <f t="shared" si="54"/>
        <v>-4.9152049474653417E-3</v>
      </c>
      <c r="CH39" s="146">
        <v>8.1764705882352962E-2</v>
      </c>
      <c r="CI39" s="124">
        <v>1.3858144377527221E-2</v>
      </c>
      <c r="CJ39" s="117">
        <v>1.0157378513173125</v>
      </c>
      <c r="CK39" s="145">
        <f t="shared" si="37"/>
        <v>1.5737851317312535E-2</v>
      </c>
      <c r="CL39" s="120">
        <v>-352.91875185072956</v>
      </c>
      <c r="CM39" s="207"/>
      <c r="CN39" s="207">
        <v>1062.25</v>
      </c>
      <c r="CO39" s="124"/>
      <c r="CP39" s="124"/>
      <c r="CQ39" s="124"/>
      <c r="CR39" s="124"/>
      <c r="CS39" s="124"/>
      <c r="CT39" s="124"/>
      <c r="CU39" s="124"/>
      <c r="CV39" s="124"/>
      <c r="CW39" s="124"/>
      <c r="CX39" s="124"/>
      <c r="CY39" s="124"/>
      <c r="CZ39" s="124"/>
      <c r="DA39" s="124"/>
      <c r="DB39" s="124"/>
      <c r="DH39" s="124"/>
      <c r="DI39" s="124"/>
    </row>
    <row r="40" spans="1:133" s="119" customFormat="1">
      <c r="A40" s="117">
        <v>1997</v>
      </c>
      <c r="B40" s="145">
        <v>0.2197070572569908</v>
      </c>
      <c r="D40" s="145"/>
      <c r="E40" s="145">
        <f>AVERAGE(B40:B55)</f>
        <v>0.18535232591766726</v>
      </c>
      <c r="F40" s="145"/>
      <c r="G40" s="145"/>
      <c r="H40" s="120">
        <v>1775.1604474807866</v>
      </c>
      <c r="I40" s="120">
        <f t="shared" si="27"/>
        <v>275.32135064053875</v>
      </c>
      <c r="J40" s="280">
        <f t="shared" si="28"/>
        <v>1.9712245367282888E-2</v>
      </c>
      <c r="K40" s="223"/>
      <c r="L40" s="223"/>
      <c r="M40" s="223">
        <f t="shared" si="41"/>
        <v>1.3223116877783944E-5</v>
      </c>
      <c r="N40" s="223"/>
      <c r="O40" s="120">
        <v>673.37159224669097</v>
      </c>
      <c r="P40" s="203">
        <f t="shared" si="29"/>
        <v>0.99889664233184483</v>
      </c>
      <c r="Q40" s="160">
        <f t="shared" si="30"/>
        <v>1.9712245367282888E-2</v>
      </c>
      <c r="R40" s="160">
        <v>-2.064143876020097E-2</v>
      </c>
      <c r="S40" s="145">
        <f>AVERAGE(Q34:Q46)</f>
        <v>-1.0802163281216338E-3</v>
      </c>
      <c r="T40" s="117">
        <v>112.80624809764225</v>
      </c>
      <c r="U40" s="117">
        <v>1444.3050000000001</v>
      </c>
      <c r="V40" s="117"/>
      <c r="W40" s="119">
        <v>2360</v>
      </c>
      <c r="X40" s="124">
        <f t="shared" si="40"/>
        <v>0.11848341232227488</v>
      </c>
      <c r="Y40" s="119">
        <v>21702866.395208146</v>
      </c>
      <c r="Z40" s="117">
        <v>16957417.11937755</v>
      </c>
      <c r="AA40" s="119">
        <v>1.0774883099532402</v>
      </c>
      <c r="AB40" s="119">
        <f t="shared" si="0"/>
        <v>1340.4368164910102</v>
      </c>
      <c r="AC40" s="119">
        <f t="shared" si="43"/>
        <v>2572298.2508462486</v>
      </c>
      <c r="AD40" s="119">
        <f t="shared" si="2"/>
        <v>0.15169163043744655</v>
      </c>
      <c r="AE40" s="119">
        <f t="shared" si="32"/>
        <v>-4.0678818089126545E-3</v>
      </c>
      <c r="AF40" s="119">
        <f t="shared" si="3"/>
        <v>3408559.8000000003</v>
      </c>
      <c r="AG40" s="145">
        <f t="shared" si="4"/>
        <v>0.15705574268072664</v>
      </c>
      <c r="AH40" s="119">
        <f t="shared" si="5"/>
        <v>0.15705574268072664</v>
      </c>
      <c r="AI40" s="120">
        <v>92.076431477656939</v>
      </c>
      <c r="AJ40" s="122">
        <f>+'Base_Budget Constraint'!T62/'Base_Budget Constraint'!$T$60</f>
        <v>1.0662457739459001</v>
      </c>
      <c r="AK40" s="119">
        <v>-178067</v>
      </c>
      <c r="AL40" s="58">
        <v>16092</v>
      </c>
      <c r="AM40" s="119">
        <v>58.42</v>
      </c>
      <c r="AN40" s="58">
        <f t="shared" si="6"/>
        <v>137.87120000000002</v>
      </c>
      <c r="AO40" s="58">
        <f t="shared" si="7"/>
        <v>16229.8712</v>
      </c>
      <c r="AP40" s="121">
        <f t="shared" si="33"/>
        <v>-161837.12880000001</v>
      </c>
      <c r="AQ40" s="125">
        <f t="shared" si="21"/>
        <v>-7.4569472001049875E-3</v>
      </c>
      <c r="AR40" s="119">
        <v>104.842</v>
      </c>
      <c r="AS40" s="119">
        <f t="shared" si="8"/>
        <v>97.302215747055143</v>
      </c>
      <c r="AT40" s="124">
        <f t="shared" si="44"/>
        <v>1.1011284955963435E-2</v>
      </c>
      <c r="AU40" s="119">
        <f t="shared" si="10"/>
        <v>247427.12</v>
      </c>
      <c r="AV40" s="58">
        <v>0</v>
      </c>
      <c r="AW40" s="126">
        <f t="shared" si="34"/>
        <v>247427.12</v>
      </c>
      <c r="AX40" s="119">
        <v>1.3315454464578742</v>
      </c>
      <c r="AY40" s="58">
        <f t="shared" si="35"/>
        <v>185819.50819492948</v>
      </c>
      <c r="AZ40" s="127">
        <f t="shared" si="22"/>
        <v>1.0958007748868201E-2</v>
      </c>
      <c r="BA40" s="58">
        <f t="shared" si="45"/>
        <v>133.15454464578741</v>
      </c>
      <c r="BB40" s="58"/>
      <c r="BC40" s="119">
        <f t="shared" si="12"/>
        <v>425494.12</v>
      </c>
      <c r="BD40" s="58"/>
      <c r="BE40" s="119">
        <v>-220842.37354200007</v>
      </c>
      <c r="BF40" s="119">
        <v>-53352</v>
      </c>
      <c r="BG40" s="122">
        <v>1831797</v>
      </c>
      <c r="BH40" s="119">
        <f t="shared" si="46"/>
        <v>8.4403459277823736E-2</v>
      </c>
      <c r="BI40" s="119">
        <f t="shared" si="36"/>
        <v>-2.0910061035459004E-4</v>
      </c>
      <c r="BJ40" s="119">
        <v>845.80805300000009</v>
      </c>
      <c r="BK40" s="124"/>
      <c r="BL40" s="119">
        <v>1253694</v>
      </c>
      <c r="BM40" s="119">
        <f t="shared" si="52"/>
        <v>1.0424251610273663</v>
      </c>
      <c r="BN40" s="119">
        <f t="shared" si="47"/>
        <v>1.1464413722478237</v>
      </c>
      <c r="BO40" s="119">
        <v>1.0155227909874327</v>
      </c>
      <c r="BP40" s="119">
        <f t="shared" si="48"/>
        <v>1.0831382985847123E-2</v>
      </c>
      <c r="BQ40" s="119">
        <f t="shared" si="49"/>
        <v>4.3115546923953037E-2</v>
      </c>
      <c r="BR40" s="119">
        <f t="shared" si="53"/>
        <v>4.1096107636911822E-2</v>
      </c>
      <c r="BS40" s="119">
        <f t="shared" si="50"/>
        <v>-1285.3500808000163</v>
      </c>
      <c r="BT40" s="124">
        <f t="shared" si="51"/>
        <v>-7.8351322094837913E-3</v>
      </c>
      <c r="BW40" s="59">
        <v>1537000</v>
      </c>
      <c r="BZ40" s="124">
        <f t="shared" si="42"/>
        <v>7.0820138317736675E-2</v>
      </c>
      <c r="CB40" s="145">
        <v>-4.0678818089126545E-3</v>
      </c>
      <c r="CC40" s="145">
        <v>-2.0910061035459004E-4</v>
      </c>
      <c r="CD40" s="145">
        <v>8.1815786758147029E-3</v>
      </c>
      <c r="CE40" s="124">
        <v>-7.2308921451305179E-3</v>
      </c>
      <c r="CF40" s="146">
        <v>7.4569472001049875E-3</v>
      </c>
      <c r="CG40" s="124">
        <f t="shared" si="54"/>
        <v>-7.332743754390446E-3</v>
      </c>
      <c r="CH40" s="146">
        <v>6.1990212071778128E-2</v>
      </c>
      <c r="CI40" s="124">
        <v>1.1011284955963435E-2</v>
      </c>
      <c r="CJ40" s="117">
        <v>1.0424251610273663</v>
      </c>
      <c r="CK40" s="145">
        <f t="shared" si="37"/>
        <v>4.2425161027366265E-2</v>
      </c>
      <c r="CL40" s="120">
        <v>-650.44050026709522</v>
      </c>
      <c r="CM40" s="207"/>
      <c r="CN40" s="207">
        <v>845.80805300000009</v>
      </c>
      <c r="CO40" s="124"/>
      <c r="CP40" s="124"/>
      <c r="CQ40" s="124"/>
      <c r="CR40" s="124"/>
      <c r="CS40" s="124"/>
      <c r="CT40" s="124"/>
      <c r="CU40" s="124"/>
      <c r="CV40" s="124"/>
      <c r="CW40" s="124"/>
      <c r="CX40" s="124"/>
      <c r="CY40" s="124"/>
      <c r="CZ40" s="124"/>
      <c r="DA40" s="124"/>
      <c r="DB40" s="124"/>
      <c r="DH40" s="124"/>
      <c r="DI40" s="124"/>
    </row>
    <row r="41" spans="1:133" s="119" customFormat="1">
      <c r="A41" s="117">
        <v>1998</v>
      </c>
      <c r="B41" s="145">
        <v>8.6790393013100431E-2</v>
      </c>
      <c r="D41" s="145"/>
      <c r="E41" s="145">
        <f>AVERAGE(B40:B55)</f>
        <v>0.18535232591766726</v>
      </c>
      <c r="F41" s="145"/>
      <c r="G41" s="145"/>
      <c r="H41" s="120">
        <v>1738.518581814581</v>
      </c>
      <c r="I41" s="120">
        <f t="shared" si="27"/>
        <v>269.63832184191625</v>
      </c>
      <c r="J41" s="280">
        <f t="shared" si="28"/>
        <v>-2.064143876020097E-2</v>
      </c>
      <c r="K41" s="223"/>
      <c r="L41" s="223"/>
      <c r="M41" s="223">
        <f t="shared" si="41"/>
        <v>1.3223116877783944E-5</v>
      </c>
      <c r="N41" s="223"/>
      <c r="O41" s="120">
        <v>646.01028673451515</v>
      </c>
      <c r="P41" s="203">
        <f t="shared" si="29"/>
        <v>0.95936670654476919</v>
      </c>
      <c r="Q41" s="160">
        <f t="shared" si="30"/>
        <v>-2.064143876020097E-2</v>
      </c>
      <c r="R41" s="160">
        <v>-3.426260968990591E-2</v>
      </c>
      <c r="S41" s="145">
        <f>AVERAGE(Q34:Q46)</f>
        <v>-1.0802163281216338E-3</v>
      </c>
      <c r="T41" s="117">
        <v>108.22255871510717</v>
      </c>
      <c r="U41" s="117">
        <v>1599.3810000000001</v>
      </c>
      <c r="V41" s="117"/>
      <c r="W41" s="119">
        <v>2840</v>
      </c>
      <c r="X41" s="124">
        <f t="shared" si="40"/>
        <v>0.20338983050847448</v>
      </c>
      <c r="Y41" s="119">
        <v>24605392.360497016</v>
      </c>
      <c r="Z41" s="117">
        <v>16968954.565419976</v>
      </c>
      <c r="AA41" s="119">
        <v>1.0948563794255177</v>
      </c>
      <c r="AB41" s="119">
        <f t="shared" si="0"/>
        <v>1460.813518608908</v>
      </c>
      <c r="AC41" s="119">
        <f t="shared" si="43"/>
        <v>2803301.1422104943</v>
      </c>
      <c r="AD41" s="119">
        <f t="shared" si="2"/>
        <v>0.16520175897713671</v>
      </c>
      <c r="AE41" s="119">
        <f t="shared" si="32"/>
        <v>1.3510128539690164E-2</v>
      </c>
      <c r="AF41" s="119">
        <f t="shared" si="3"/>
        <v>4542242.04</v>
      </c>
      <c r="AG41" s="145">
        <f t="shared" si="4"/>
        <v>0.1846035199703781</v>
      </c>
      <c r="AH41" s="119">
        <f t="shared" si="5"/>
        <v>0.1846035199703781</v>
      </c>
      <c r="AI41" s="120">
        <v>96.730532827485092</v>
      </c>
      <c r="AJ41" s="122">
        <f>+'Base_Budget Constraint'!T63/'Base_Budget Constraint'!$T$60</f>
        <v>1.1094457099006527</v>
      </c>
      <c r="AK41" s="119">
        <v>399519</v>
      </c>
      <c r="AL41" s="58">
        <v>34031</v>
      </c>
      <c r="AM41" s="119">
        <v>62.271999999999998</v>
      </c>
      <c r="AN41" s="58">
        <f t="shared" si="6"/>
        <v>176.85247999999999</v>
      </c>
      <c r="AO41" s="58">
        <f t="shared" si="7"/>
        <v>34207.852480000001</v>
      </c>
      <c r="AP41" s="121">
        <f t="shared" si="33"/>
        <v>433726.85248</v>
      </c>
      <c r="AQ41" s="125">
        <f t="shared" si="21"/>
        <v>1.7627308929904783E-2</v>
      </c>
      <c r="AR41" s="119">
        <v>103.032</v>
      </c>
      <c r="AS41" s="119">
        <f t="shared" si="8"/>
        <v>94.105493593654657</v>
      </c>
      <c r="AT41" s="124">
        <f t="shared" si="44"/>
        <v>1.0642284503149873E-2</v>
      </c>
      <c r="AU41" s="119">
        <f t="shared" si="10"/>
        <v>292610.88</v>
      </c>
      <c r="AV41" s="58">
        <v>98375</v>
      </c>
      <c r="AW41" s="126">
        <f t="shared" si="34"/>
        <v>390985.88</v>
      </c>
      <c r="AX41" s="119">
        <v>1.4853888842313077</v>
      </c>
      <c r="AY41" s="58">
        <f t="shared" si="35"/>
        <v>263221.22384962923</v>
      </c>
      <c r="AZ41" s="127">
        <f t="shared" si="22"/>
        <v>1.5511929319796289E-2</v>
      </c>
      <c r="BA41" s="58">
        <f t="shared" si="45"/>
        <v>148.53888842313077</v>
      </c>
      <c r="BB41" s="58"/>
      <c r="BC41" s="119">
        <f t="shared" si="12"/>
        <v>-106908.12</v>
      </c>
      <c r="BD41" s="58"/>
      <c r="BE41" s="119">
        <v>-88931.641506999731</v>
      </c>
      <c r="BF41" s="119">
        <v>83674</v>
      </c>
      <c r="BG41" s="122">
        <v>1987333</v>
      </c>
      <c r="BH41" s="119">
        <f t="shared" si="46"/>
        <v>8.0768189788779171E-2</v>
      </c>
      <c r="BI41" s="119">
        <f t="shared" si="36"/>
        <v>-3.6352694890445653E-3</v>
      </c>
      <c r="BJ41" s="119">
        <v>874.7526499999999</v>
      </c>
      <c r="BK41" s="124"/>
      <c r="BL41" s="119">
        <v>1409138</v>
      </c>
      <c r="BM41" s="119">
        <f t="shared" si="52"/>
        <v>1.0006803775575728</v>
      </c>
      <c r="BN41" s="119">
        <f t="shared" si="47"/>
        <v>1.0540419830281376</v>
      </c>
      <c r="BO41" s="119">
        <v>1.0218802719697382</v>
      </c>
      <c r="BP41" s="119">
        <f t="shared" si="48"/>
        <v>3.0797955242098693E-3</v>
      </c>
      <c r="BQ41" s="119">
        <f t="shared" si="49"/>
        <v>3.8952569775431864E-2</v>
      </c>
      <c r="BR41" s="119">
        <f t="shared" si="53"/>
        <v>4.2776730710387526E-2</v>
      </c>
      <c r="BS41" s="119">
        <f t="shared" si="50"/>
        <v>-1398.324692105281</v>
      </c>
      <c r="BT41" s="124">
        <f t="shared" si="51"/>
        <v>-9.6210574683779203E-3</v>
      </c>
      <c r="BW41" s="59">
        <v>1901000</v>
      </c>
      <c r="BZ41" s="124">
        <f t="shared" si="42"/>
        <v>7.7259487357412768E-2</v>
      </c>
      <c r="CB41" s="145">
        <v>1.3510128539690164E-2</v>
      </c>
      <c r="CC41" s="145">
        <v>-3.6352694890445653E-3</v>
      </c>
      <c r="CD41" s="145">
        <v>1.0831382985847123E-2</v>
      </c>
      <c r="CE41" s="124">
        <v>-7.8351322094837913E-3</v>
      </c>
      <c r="CF41" s="146">
        <v>-1.7627308929904783E-2</v>
      </c>
      <c r="CG41" s="124">
        <f t="shared" si="54"/>
        <v>3.5526398672731427E-2</v>
      </c>
      <c r="CH41" s="146">
        <v>0.14644137224782372</v>
      </c>
      <c r="CI41" s="124">
        <v>1.0642284503149873E-2</v>
      </c>
      <c r="CJ41" s="117">
        <v>1.0006803775575728</v>
      </c>
      <c r="CK41" s="145">
        <f t="shared" si="37"/>
        <v>6.8037755757277552E-4</v>
      </c>
      <c r="CL41" s="120">
        <v>-159.95139988186881</v>
      </c>
      <c r="CM41" s="207"/>
      <c r="CN41" s="207">
        <v>874.7526499999999</v>
      </c>
      <c r="CO41" s="124"/>
      <c r="CP41" s="124"/>
      <c r="CQ41" s="124"/>
      <c r="CR41" s="124"/>
      <c r="CS41" s="124"/>
      <c r="CT41" s="124"/>
      <c r="CU41" s="124"/>
      <c r="CV41" s="124"/>
      <c r="CW41" s="124"/>
      <c r="CX41" s="124"/>
      <c r="CY41" s="124"/>
      <c r="CZ41" s="124"/>
      <c r="DA41" s="124"/>
      <c r="DB41" s="124"/>
      <c r="DH41" s="124"/>
      <c r="DI41" s="124"/>
    </row>
    <row r="42" spans="1:133" s="119" customFormat="1">
      <c r="A42" s="117">
        <v>1999</v>
      </c>
      <c r="B42" s="145">
        <v>3.3651431441486634E-2</v>
      </c>
      <c r="D42" s="145"/>
      <c r="E42" s="145">
        <f>AVERAGE(B40:B55)</f>
        <v>0.18535232591766726</v>
      </c>
      <c r="F42" s="145"/>
      <c r="G42" s="145"/>
      <c r="H42" s="120">
        <v>1678.9523982072192</v>
      </c>
      <c r="I42" s="120">
        <f t="shared" si="27"/>
        <v>260.39980926320544</v>
      </c>
      <c r="J42" s="280">
        <f t="shared" si="28"/>
        <v>-3.426260968990591E-2</v>
      </c>
      <c r="K42" s="223"/>
      <c r="L42" s="223"/>
      <c r="M42" s="223">
        <f t="shared" si="41"/>
        <v>1.3223116877783944E-5</v>
      </c>
      <c r="N42" s="223"/>
      <c r="O42" s="120">
        <v>611.14096900267305</v>
      </c>
      <c r="P42" s="203">
        <f t="shared" si="29"/>
        <v>0.9460235874755164</v>
      </c>
      <c r="Q42" s="160">
        <f t="shared" si="30"/>
        <v>-3.426260968990591E-2</v>
      </c>
      <c r="R42" s="160">
        <v>-4.3189932570088518E-2</v>
      </c>
      <c r="S42" s="145">
        <f>AVERAGE(Q34:Q46)</f>
        <v>-1.0802163281216338E-3</v>
      </c>
      <c r="T42" s="117">
        <v>102.38109324144543</v>
      </c>
      <c r="U42" s="117">
        <v>2111.4670000000001</v>
      </c>
      <c r="V42" s="117"/>
      <c r="W42" s="119">
        <v>3329</v>
      </c>
      <c r="X42" s="124">
        <f t="shared" si="40"/>
        <v>0.17218309859154934</v>
      </c>
      <c r="Y42" s="119">
        <v>26176950.737209246</v>
      </c>
      <c r="Z42" s="117">
        <v>16737145.119697785</v>
      </c>
      <c r="AA42" s="119">
        <v>1.1242484969939881</v>
      </c>
      <c r="AB42" s="119">
        <f t="shared" si="0"/>
        <v>1878.1141408199642</v>
      </c>
      <c r="AC42" s="119">
        <f t="shared" si="43"/>
        <v>3604101.0362335113</v>
      </c>
      <c r="AD42" s="119">
        <f t="shared" si="2"/>
        <v>0.21533547151908716</v>
      </c>
      <c r="AE42" s="119">
        <f t="shared" si="32"/>
        <v>5.0133712541950454E-2</v>
      </c>
      <c r="AF42" s="119">
        <f t="shared" si="3"/>
        <v>7029073.6430000002</v>
      </c>
      <c r="AG42" s="145">
        <f t="shared" si="4"/>
        <v>0.26852148340595372</v>
      </c>
      <c r="AH42" s="119">
        <f t="shared" si="5"/>
        <v>0.26852148340595372</v>
      </c>
      <c r="AI42" s="120">
        <v>103.4379695172517</v>
      </c>
      <c r="AJ42" s="122">
        <f>+'Base_Budget Constraint'!T64/'Base_Budget Constraint'!$T$60</f>
        <v>1.250940627097042</v>
      </c>
      <c r="AK42" s="119">
        <v>-779229.40722200007</v>
      </c>
      <c r="AL42" s="58">
        <v>30997</v>
      </c>
      <c r="AM42" s="119">
        <v>62.3</v>
      </c>
      <c r="AN42" s="58">
        <f t="shared" si="6"/>
        <v>207.39669999999998</v>
      </c>
      <c r="AO42" s="58">
        <f t="shared" si="7"/>
        <v>31204.396700000001</v>
      </c>
      <c r="AP42" s="121">
        <f t="shared" si="33"/>
        <v>-748025.01052200003</v>
      </c>
      <c r="AQ42" s="125">
        <f t="shared" si="21"/>
        <v>-2.8575712199309728E-2</v>
      </c>
      <c r="AR42" s="119">
        <v>108.361</v>
      </c>
      <c r="AS42" s="119">
        <f t="shared" si="8"/>
        <v>96.385274509803921</v>
      </c>
      <c r="AT42" s="124">
        <f t="shared" si="44"/>
        <v>1.105106877317041E-2</v>
      </c>
      <c r="AU42" s="119">
        <f t="shared" si="10"/>
        <v>360733.76900000003</v>
      </c>
      <c r="AV42" s="58">
        <v>126135</v>
      </c>
      <c r="AW42" s="126">
        <f t="shared" si="34"/>
        <v>486868.76900000003</v>
      </c>
      <c r="AX42" s="119">
        <v>1.585669030842787</v>
      </c>
      <c r="AY42" s="58">
        <f t="shared" si="35"/>
        <v>307043.12156568264</v>
      </c>
      <c r="AZ42" s="127">
        <f t="shared" si="22"/>
        <v>1.8345011611587601E-2</v>
      </c>
      <c r="BA42" s="58">
        <f t="shared" si="45"/>
        <v>158.56690308427869</v>
      </c>
      <c r="BB42" s="58"/>
      <c r="BC42" s="119">
        <f t="shared" si="12"/>
        <v>1139963.176222</v>
      </c>
      <c r="BD42" s="58"/>
      <c r="BE42" s="119">
        <v>-804688.3963779998</v>
      </c>
      <c r="BF42" s="119">
        <v>-61029.698244000319</v>
      </c>
      <c r="BG42" s="122">
        <v>2138545</v>
      </c>
      <c r="BH42" s="119">
        <f t="shared" si="46"/>
        <v>8.1695726193202617E-2</v>
      </c>
      <c r="BI42" s="119">
        <f t="shared" si="36"/>
        <v>9.2753640442344576E-4</v>
      </c>
      <c r="BJ42" s="119">
        <v>988.20243000000005</v>
      </c>
      <c r="BK42" s="124"/>
      <c r="BL42" s="119">
        <v>1587497</v>
      </c>
      <c r="BM42" s="119">
        <f t="shared" si="52"/>
        <v>0.98633920287614052</v>
      </c>
      <c r="BN42" s="119">
        <f t="shared" si="47"/>
        <v>1.0864406779661016</v>
      </c>
      <c r="BO42" s="119">
        <v>1.0337685727149926</v>
      </c>
      <c r="BP42" s="119">
        <f t="shared" si="48"/>
        <v>4.7186133789233423E-3</v>
      </c>
      <c r="BQ42" s="119">
        <f t="shared" si="49"/>
        <v>4.4825232883109231E-2</v>
      </c>
      <c r="BR42" s="119">
        <f t="shared" si="53"/>
        <v>3.8572793056261725E-2</v>
      </c>
      <c r="BS42" s="119">
        <f t="shared" si="50"/>
        <v>-1805.6700327300769</v>
      </c>
      <c r="BT42" s="124">
        <f t="shared" si="51"/>
        <v>-1.2948399696052521E-2</v>
      </c>
      <c r="BW42" s="59">
        <v>1456000</v>
      </c>
      <c r="BZ42" s="124">
        <f t="shared" si="42"/>
        <v>5.5621451658629119E-2</v>
      </c>
      <c r="CB42" s="145">
        <v>5.0133712541950454E-2</v>
      </c>
      <c r="CC42" s="145">
        <v>9.2753640442344576E-4</v>
      </c>
      <c r="CD42" s="145">
        <v>3.0797955242098693E-3</v>
      </c>
      <c r="CE42" s="124">
        <v>-9.6210574683779203E-3</v>
      </c>
      <c r="CF42" s="146">
        <v>2.8575712199309728E-2</v>
      </c>
      <c r="CG42" s="124">
        <f t="shared" si="54"/>
        <v>2.4135320966481546E-2</v>
      </c>
      <c r="CH42" s="146">
        <v>5.4041983028137563E-2</v>
      </c>
      <c r="CI42" s="124">
        <v>1.105106877317041E-2</v>
      </c>
      <c r="CJ42" s="117">
        <v>0.98633920287614052</v>
      </c>
      <c r="CK42" s="145">
        <f t="shared" si="37"/>
        <v>-1.3660797123859481E-2</v>
      </c>
      <c r="CL42" s="120">
        <v>-165.39999999999949</v>
      </c>
      <c r="CM42" s="207"/>
      <c r="CN42" s="207">
        <v>988.20243000000005</v>
      </c>
      <c r="CO42" s="124"/>
      <c r="CP42" s="124"/>
      <c r="CQ42" s="124"/>
      <c r="CR42" s="124"/>
      <c r="CS42" s="124"/>
      <c r="CT42" s="124"/>
      <c r="CU42" s="124"/>
      <c r="CV42" s="124"/>
      <c r="CW42" s="124"/>
      <c r="CX42" s="124"/>
      <c r="CY42" s="124"/>
      <c r="CZ42" s="124"/>
      <c r="DA42" s="124"/>
      <c r="DB42" s="124"/>
      <c r="DH42" s="124"/>
      <c r="DI42" s="124"/>
      <c r="DO42" s="117"/>
      <c r="DU42" s="117"/>
      <c r="DV42" s="117"/>
      <c r="EB42" s="117"/>
      <c r="EC42" s="117"/>
    </row>
    <row r="43" spans="1:133" s="119" customFormat="1">
      <c r="A43" s="117">
        <v>2000</v>
      </c>
      <c r="B43" s="145">
        <v>9.3780369290573207E-2</v>
      </c>
      <c r="D43" s="145"/>
      <c r="E43" s="145">
        <f>AVERAGE(B40:B55)</f>
        <v>0.18535232591766726</v>
      </c>
      <c r="F43" s="145"/>
      <c r="G43" s="145"/>
      <c r="H43" s="120">
        <v>1606.438557340261</v>
      </c>
      <c r="I43" s="120">
        <f t="shared" si="27"/>
        <v>249.1531590598637</v>
      </c>
      <c r="J43" s="280">
        <f t="shared" si="28"/>
        <v>-4.3189932570088518E-2</v>
      </c>
      <c r="K43" s="223"/>
      <c r="L43" s="223"/>
      <c r="M43" s="223">
        <f t="shared" si="41"/>
        <v>1.3223116877783944E-5</v>
      </c>
      <c r="N43" s="223"/>
      <c r="O43" s="120">
        <v>572.8092906767547</v>
      </c>
      <c r="P43" s="203">
        <f t="shared" si="29"/>
        <v>0.93727849993681134</v>
      </c>
      <c r="Q43" s="160">
        <f t="shared" si="30"/>
        <v>-4.3189932570088518E-2</v>
      </c>
      <c r="R43" s="160">
        <v>-2.8359614068981021E-2</v>
      </c>
      <c r="S43" s="145">
        <f>AVERAGE(Q34:Q46)</f>
        <v>-1.0802163281216338E-3</v>
      </c>
      <c r="T43" s="117">
        <v>95.959597495232771</v>
      </c>
      <c r="U43" s="117">
        <v>2234.3220000000001</v>
      </c>
      <c r="V43" s="117"/>
      <c r="W43" s="119">
        <v>3527</v>
      </c>
      <c r="X43" s="124">
        <f t="shared" si="40"/>
        <v>5.947732051667165E-2</v>
      </c>
      <c r="Y43" s="119">
        <v>28574100.862382505</v>
      </c>
      <c r="Z43" s="117">
        <v>16349824.054519456</v>
      </c>
      <c r="AA43" s="119">
        <v>1.1623246492985975</v>
      </c>
      <c r="AB43" s="119">
        <f t="shared" si="0"/>
        <v>1922.2873758620685</v>
      </c>
      <c r="AC43" s="119">
        <f t="shared" si="43"/>
        <v>3688869.4742793096</v>
      </c>
      <c r="AD43" s="119">
        <f t="shared" si="2"/>
        <v>0.2256213560450899</v>
      </c>
      <c r="AE43" s="119">
        <f t="shared" si="32"/>
        <v>1.0285884526002737E-2</v>
      </c>
      <c r="AF43" s="119">
        <f t="shared" si="3"/>
        <v>7880453.6940000001</v>
      </c>
      <c r="AG43" s="145">
        <f t="shared" si="4"/>
        <v>0.27579008459281151</v>
      </c>
      <c r="AH43" s="119">
        <f t="shared" si="5"/>
        <v>0.27579008459281151</v>
      </c>
      <c r="AI43" s="120">
        <v>115.15854362176236</v>
      </c>
      <c r="AJ43" s="122">
        <f>+'Base_Budget Constraint'!T65/'Base_Budget Constraint'!$T$60</f>
        <v>1.2775764245471055</v>
      </c>
      <c r="AK43" s="119">
        <v>-854267.2575999992</v>
      </c>
      <c r="AL43" s="58">
        <v>26846</v>
      </c>
      <c r="AM43" s="119">
        <v>94.647000000000006</v>
      </c>
      <c r="AN43" s="58">
        <f t="shared" si="6"/>
        <v>333.81996900000001</v>
      </c>
      <c r="AO43" s="58">
        <f t="shared" si="7"/>
        <v>27179.819969</v>
      </c>
      <c r="AP43" s="121">
        <f t="shared" si="33"/>
        <v>-827087.43763099925</v>
      </c>
      <c r="AQ43" s="125">
        <f t="shared" si="21"/>
        <v>-2.8945353052905715E-2</v>
      </c>
      <c r="AR43" s="119">
        <v>105.452</v>
      </c>
      <c r="AS43" s="119">
        <f t="shared" si="8"/>
        <v>90.725082758620673</v>
      </c>
      <c r="AT43" s="124">
        <f t="shared" si="44"/>
        <v>1.0648520328612805E-2</v>
      </c>
      <c r="AU43" s="119">
        <f t="shared" si="10"/>
        <v>371929.20399999997</v>
      </c>
      <c r="AV43" s="58">
        <v>312298</v>
      </c>
      <c r="AW43" s="126">
        <f t="shared" si="34"/>
        <v>684227.20399999991</v>
      </c>
      <c r="AX43" s="119">
        <v>1.7281209201199079</v>
      </c>
      <c r="AY43" s="58">
        <f t="shared" si="35"/>
        <v>395937.11066961905</v>
      </c>
      <c r="AZ43" s="127">
        <f t="shared" si="22"/>
        <v>2.4216597643457405E-2</v>
      </c>
      <c r="BA43" s="58">
        <f t="shared" si="45"/>
        <v>172.81209201199079</v>
      </c>
      <c r="BB43" s="58"/>
      <c r="BC43" s="119">
        <f t="shared" si="12"/>
        <v>1226196.4615999993</v>
      </c>
      <c r="BD43" s="58"/>
      <c r="BE43" s="119">
        <v>-1126392.8396280005</v>
      </c>
      <c r="BF43" s="119">
        <v>213982.17079999996</v>
      </c>
      <c r="BG43" s="122">
        <v>2106943.3540000003</v>
      </c>
      <c r="BH43" s="119">
        <f t="shared" si="46"/>
        <v>7.3736120837095825E-2</v>
      </c>
      <c r="BI43" s="119">
        <f t="shared" si="36"/>
        <v>-7.9596053561067914E-3</v>
      </c>
      <c r="BJ43" s="119">
        <v>771.87931299999991</v>
      </c>
      <c r="BK43" s="124"/>
      <c r="BL43" s="119">
        <v>1556689</v>
      </c>
      <c r="BM43" s="119">
        <f t="shared" si="52"/>
        <v>0.9768585943177075</v>
      </c>
      <c r="BN43" s="119">
        <f t="shared" si="47"/>
        <v>1.0838533541341655</v>
      </c>
      <c r="BO43" s="119">
        <v>1.0282617111885433</v>
      </c>
      <c r="BP43" s="119">
        <f t="shared" si="48"/>
        <v>5.1324737454704174E-3</v>
      </c>
      <c r="BQ43" s="119">
        <f t="shared" si="49"/>
        <v>4.6669638485410787E-2</v>
      </c>
      <c r="BR43" s="119">
        <f t="shared" si="53"/>
        <v>4.3959863371548211E-2</v>
      </c>
      <c r="BS43" s="119">
        <f t="shared" si="50"/>
        <v>-1837.7838854583201</v>
      </c>
      <c r="BT43" s="124">
        <f t="shared" si="51"/>
        <v>-1.6512390476393083E-2</v>
      </c>
      <c r="BW43" s="59">
        <v>1543000</v>
      </c>
      <c r="BZ43" s="124">
        <f t="shared" si="42"/>
        <v>5.3999949374832046E-2</v>
      </c>
      <c r="CB43" s="145">
        <v>1.0285884526002737E-2</v>
      </c>
      <c r="CC43" s="145">
        <v>-7.9596053561067914E-3</v>
      </c>
      <c r="CD43" s="145">
        <v>4.7186133789233423E-3</v>
      </c>
      <c r="CE43" s="124">
        <v>-1.2948399696052521E-2</v>
      </c>
      <c r="CF43" s="146">
        <v>2.8945353052905715E-2</v>
      </c>
      <c r="CG43" s="124">
        <f t="shared" si="54"/>
        <v>-1.9600581136646714E-2</v>
      </c>
      <c r="CH43" s="146">
        <v>8.6440677966101553E-2</v>
      </c>
      <c r="CI43" s="124">
        <v>1.0648520328612805E-2</v>
      </c>
      <c r="CJ43" s="117">
        <v>0.9768585943177075</v>
      </c>
      <c r="CK43" s="145">
        <f t="shared" si="37"/>
        <v>-2.3141405682292504E-2</v>
      </c>
      <c r="CL43" s="120">
        <v>-162.82800000000003</v>
      </c>
      <c r="CM43" s="207"/>
      <c r="CN43" s="207">
        <v>771.87931299999991</v>
      </c>
      <c r="CO43" s="124"/>
      <c r="CP43" s="124"/>
      <c r="CQ43" s="124"/>
      <c r="CR43" s="124"/>
      <c r="CS43" s="124"/>
      <c r="CT43" s="124"/>
      <c r="CU43" s="124"/>
      <c r="CV43" s="124"/>
      <c r="CW43" s="124"/>
      <c r="CX43" s="124"/>
      <c r="CY43" s="124"/>
      <c r="CZ43" s="124"/>
      <c r="DA43" s="124"/>
      <c r="DB43" s="124"/>
      <c r="DG43" s="117"/>
      <c r="DH43" s="124"/>
      <c r="DI43" s="124"/>
      <c r="DN43" s="117"/>
      <c r="DO43" s="117"/>
      <c r="DU43" s="117"/>
      <c r="DV43" s="117"/>
      <c r="EB43" s="117"/>
      <c r="EC43" s="117"/>
    </row>
    <row r="44" spans="1:133" s="119" customFormat="1">
      <c r="A44" s="117">
        <v>2001</v>
      </c>
      <c r="B44" s="145">
        <v>0.16836961350510871</v>
      </c>
      <c r="D44" s="145"/>
      <c r="E44" s="145">
        <f>AVERAGE(B40:B55)</f>
        <v>0.18535232591766726</v>
      </c>
      <c r="F44" s="145"/>
      <c r="G44" s="145"/>
      <c r="H44" s="120">
        <v>1560.8805798285605</v>
      </c>
      <c r="I44" s="120">
        <f t="shared" si="27"/>
        <v>242.08727162485849</v>
      </c>
      <c r="J44" s="280">
        <f t="shared" si="28"/>
        <v>-2.8359614068981021E-2</v>
      </c>
      <c r="K44" s="223"/>
      <c r="L44" s="223"/>
      <c r="M44" s="223">
        <f t="shared" si="41"/>
        <v>1.3223116877783944E-5</v>
      </c>
      <c r="N44" s="223"/>
      <c r="O44" s="120">
        <v>545.20336783259722</v>
      </c>
      <c r="P44" s="203">
        <f t="shared" si="29"/>
        <v>0.95180608399081301</v>
      </c>
      <c r="Q44" s="160">
        <f t="shared" si="30"/>
        <v>-2.8359614068981021E-2</v>
      </c>
      <c r="R44" s="160">
        <v>-2.0047488474288055E-2</v>
      </c>
      <c r="S44" s="145">
        <f>AVERAGE(Q34:Q46)</f>
        <v>-1.0802163281216338E-3</v>
      </c>
      <c r="T44" s="117">
        <v>91.334928713272134</v>
      </c>
      <c r="U44" s="117">
        <v>2162.4070000000002</v>
      </c>
      <c r="V44" s="117"/>
      <c r="W44" s="119">
        <v>4682</v>
      </c>
      <c r="X44" s="124">
        <f t="shared" si="40"/>
        <v>0.32747377374539277</v>
      </c>
      <c r="Y44" s="119">
        <v>31462078.100319903</v>
      </c>
      <c r="Z44" s="117">
        <v>16213457.575816549</v>
      </c>
      <c r="AA44" s="119">
        <v>1.1803607214428857</v>
      </c>
      <c r="AB44" s="119">
        <f t="shared" si="0"/>
        <v>1831.988273344652</v>
      </c>
      <c r="AC44" s="119">
        <f t="shared" si="43"/>
        <v>3515585.4965483872</v>
      </c>
      <c r="AD44" s="119">
        <f t="shared" si="2"/>
        <v>0.21683132546583506</v>
      </c>
      <c r="AE44" s="119">
        <f t="shared" si="32"/>
        <v>-8.7900305792548428E-3</v>
      </c>
      <c r="AF44" s="119">
        <f t="shared" si="3"/>
        <v>10124389.574000001</v>
      </c>
      <c r="AG44" s="145">
        <f t="shared" si="4"/>
        <v>0.32179659403671296</v>
      </c>
      <c r="AH44" s="119">
        <f t="shared" si="5"/>
        <v>0.32179659403671296</v>
      </c>
      <c r="AI44" s="120">
        <v>117.24404402833592</v>
      </c>
      <c r="AJ44" s="122">
        <f>+'Base_Budget Constraint'!T66/'Base_Budget Constraint'!$T$60</f>
        <v>1.5710344383299133</v>
      </c>
      <c r="AK44" s="119">
        <v>288328.69422000169</v>
      </c>
      <c r="AL44" s="58">
        <v>25296</v>
      </c>
      <c r="AM44" s="119">
        <v>104.27500000000001</v>
      </c>
      <c r="AN44" s="58">
        <f t="shared" si="6"/>
        <v>488.21555000000006</v>
      </c>
      <c r="AO44" s="58">
        <f t="shared" si="7"/>
        <v>25784.215550000001</v>
      </c>
      <c r="AP44" s="121">
        <f t="shared" si="33"/>
        <v>314112.90977000172</v>
      </c>
      <c r="AQ44" s="125">
        <f t="shared" si="21"/>
        <v>9.9838576704444661E-3</v>
      </c>
      <c r="AR44" s="119">
        <v>125.902</v>
      </c>
      <c r="AS44" s="119">
        <f t="shared" si="8"/>
        <v>106.66400339558574</v>
      </c>
      <c r="AT44" s="124">
        <f t="shared" si="44"/>
        <v>1.2624588034907194E-2</v>
      </c>
      <c r="AU44" s="119">
        <f t="shared" si="10"/>
        <v>589473.16399999999</v>
      </c>
      <c r="AV44" s="58">
        <v>104853</v>
      </c>
      <c r="AW44" s="126">
        <f t="shared" si="34"/>
        <v>694326.16399999999</v>
      </c>
      <c r="AX44" s="119">
        <v>1.8537156189454154</v>
      </c>
      <c r="AY44" s="58">
        <f t="shared" si="35"/>
        <v>374559.15940062283</v>
      </c>
      <c r="AZ44" s="127">
        <f t="shared" si="22"/>
        <v>2.3101744809774734E-2</v>
      </c>
      <c r="BA44" s="58">
        <f t="shared" si="45"/>
        <v>185.37156189454154</v>
      </c>
      <c r="BB44" s="58"/>
      <c r="BC44" s="119">
        <f t="shared" si="12"/>
        <v>301144.4697799983</v>
      </c>
      <c r="BD44" s="58"/>
      <c r="BE44" s="119">
        <v>-231622.69122200087</v>
      </c>
      <c r="BF44" s="119">
        <v>343100.54602000071</v>
      </c>
      <c r="BG44" s="122">
        <v>2227567.355856</v>
      </c>
      <c r="BH44" s="119">
        <f t="shared" si="46"/>
        <v>7.0801659977868733E-2</v>
      </c>
      <c r="BI44" s="119">
        <f t="shared" si="36"/>
        <v>-2.9344608592270921E-3</v>
      </c>
      <c r="BJ44" s="119">
        <v>723.13683700000001</v>
      </c>
      <c r="BK44" s="124"/>
      <c r="BL44" s="119">
        <v>1662247</v>
      </c>
      <c r="BM44" s="119">
        <f t="shared" si="52"/>
        <v>0.99165945283275314</v>
      </c>
      <c r="BN44" s="119">
        <f t="shared" si="47"/>
        <v>1.1464555595537966</v>
      </c>
      <c r="BO44" s="119">
        <v>1.0158603162650583</v>
      </c>
      <c r="BP44" s="119">
        <f t="shared" si="48"/>
        <v>9.0314349576491228E-3</v>
      </c>
      <c r="BQ44" s="119">
        <f t="shared" si="49"/>
        <v>3.4648888946437924E-2</v>
      </c>
      <c r="BR44" s="119">
        <f t="shared" si="53"/>
        <v>4.5950835198913E-2</v>
      </c>
      <c r="BS44" s="119">
        <f t="shared" si="50"/>
        <v>-1747.8068821098507</v>
      </c>
      <c r="BT44" s="124">
        <f t="shared" si="51"/>
        <v>-2.1187654708131911E-2</v>
      </c>
      <c r="BW44" s="59">
        <v>1765000</v>
      </c>
      <c r="BZ44" s="124">
        <f t="shared" si="42"/>
        <v>5.6099282265212283E-2</v>
      </c>
      <c r="CB44" s="145">
        <v>-8.7900305792548428E-3</v>
      </c>
      <c r="CC44" s="145">
        <v>-2.9344608592270921E-3</v>
      </c>
      <c r="CD44" s="145">
        <v>5.1324737454704174E-3</v>
      </c>
      <c r="CE44" s="124">
        <v>-1.6512390476393083E-2</v>
      </c>
      <c r="CF44" s="146">
        <v>-9.9838576704444661E-3</v>
      </c>
      <c r="CG44" s="124">
        <f t="shared" si="54"/>
        <v>7.2796424189188365E-3</v>
      </c>
      <c r="CH44" s="146">
        <v>8.3853354134165503E-2</v>
      </c>
      <c r="CI44" s="124">
        <v>1.2624588034907194E-2</v>
      </c>
      <c r="CJ44" s="117">
        <v>0.99165945283275314</v>
      </c>
      <c r="CK44" s="145">
        <f t="shared" si="37"/>
        <v>-8.340547167246859E-3</v>
      </c>
      <c r="CL44" s="120">
        <v>-266.35999999999956</v>
      </c>
      <c r="CM44" s="207"/>
      <c r="CN44" s="207">
        <v>723.13683700000001</v>
      </c>
      <c r="CO44" s="124"/>
      <c r="CP44" s="124"/>
      <c r="CQ44" s="124"/>
      <c r="CR44" s="124"/>
      <c r="CS44" s="124"/>
      <c r="CT44" s="124"/>
      <c r="CU44" s="124"/>
      <c r="CV44" s="124"/>
      <c r="CW44" s="124"/>
      <c r="CX44" s="124"/>
      <c r="CY44" s="124"/>
      <c r="CZ44" s="124"/>
      <c r="DA44" s="124"/>
      <c r="DB44" s="124"/>
      <c r="DG44" s="117"/>
      <c r="DH44" s="124"/>
      <c r="DI44" s="124"/>
      <c r="DN44" s="117"/>
      <c r="DO44" s="117"/>
      <c r="DU44" s="117"/>
      <c r="DV44" s="117"/>
      <c r="EB44" s="117"/>
      <c r="EC44" s="117"/>
    </row>
    <row r="45" spans="1:133" s="195" customFormat="1" ht="15" thickBot="1">
      <c r="A45" s="117">
        <v>2002</v>
      </c>
      <c r="B45" s="145">
        <v>0.35703422053231959</v>
      </c>
      <c r="C45" s="119"/>
      <c r="D45" s="145"/>
      <c r="E45" s="145">
        <f>AVERAGE(B40:B55)</f>
        <v>0.18535232591766726</v>
      </c>
      <c r="F45" s="145"/>
      <c r="G45" s="145"/>
      <c r="H45" s="120">
        <v>1529.5888443947074</v>
      </c>
      <c r="I45" s="120">
        <f t="shared" si="27"/>
        <v>237.23402983718734</v>
      </c>
      <c r="J45" s="280">
        <f t="shared" si="28"/>
        <v>-2.0047488474288055E-2</v>
      </c>
      <c r="K45" s="223"/>
      <c r="L45" s="223"/>
      <c r="M45" s="223">
        <f t="shared" si="41"/>
        <v>1.3223116877783944E-5</v>
      </c>
      <c r="N45" s="223"/>
      <c r="O45" s="120">
        <v>523.36717280886739</v>
      </c>
      <c r="P45" s="203">
        <f t="shared" si="29"/>
        <v>0.9599485323971173</v>
      </c>
      <c r="Q45" s="160">
        <f t="shared" si="30"/>
        <v>-2.0047488474288055E-2</v>
      </c>
      <c r="R45" s="160">
        <v>2.2885840790635603E-2</v>
      </c>
      <c r="S45" s="145">
        <f>AVERAGE(Q34:Q46)</f>
        <v>-1.0802163281216338E-3</v>
      </c>
      <c r="T45" s="117">
        <v>87.676830774900921</v>
      </c>
      <c r="U45" s="117">
        <v>2283.0509999999999</v>
      </c>
      <c r="V45" s="117"/>
      <c r="W45" s="119">
        <v>7104</v>
      </c>
      <c r="X45" s="124">
        <f t="shared" si="40"/>
        <v>0.51730029901751395</v>
      </c>
      <c r="Y45" s="119">
        <v>36156212.343866736</v>
      </c>
      <c r="Z45" s="117">
        <v>16209987.18330846</v>
      </c>
      <c r="AA45" s="119">
        <v>1.2084168336673344</v>
      </c>
      <c r="AB45" s="119">
        <f t="shared" si="0"/>
        <v>1889.2909601990052</v>
      </c>
      <c r="AC45" s="119">
        <f t="shared" si="43"/>
        <v>3625549.3526218911</v>
      </c>
      <c r="AD45" s="119">
        <f t="shared" si="2"/>
        <v>0.22366145707722368</v>
      </c>
      <c r="AE45" s="119">
        <f t="shared" si="32"/>
        <v>6.8301316113886235E-3</v>
      </c>
      <c r="AF45" s="119">
        <f t="shared" si="3"/>
        <v>16218794.304</v>
      </c>
      <c r="AG45" s="145">
        <f t="shared" si="4"/>
        <v>0.44857559054443469</v>
      </c>
      <c r="AH45" s="119">
        <f t="shared" si="5"/>
        <v>0.44857559054443469</v>
      </c>
      <c r="AI45" s="120">
        <v>145.67705407730779</v>
      </c>
      <c r="AJ45" s="122">
        <f>+'Base_Budget Constraint'!T67/'Base_Budget Constraint'!$T$60</f>
        <v>2.0427117855350376</v>
      </c>
      <c r="AK45" s="119">
        <v>-807205.7543900006</v>
      </c>
      <c r="AL45" s="58">
        <v>60494</v>
      </c>
      <c r="AM45" s="119">
        <v>74.924999999999997</v>
      </c>
      <c r="AN45" s="58">
        <f t="shared" si="6"/>
        <v>532.2672</v>
      </c>
      <c r="AO45" s="58">
        <f t="shared" si="7"/>
        <v>61026.267200000002</v>
      </c>
      <c r="AP45" s="121">
        <f t="shared" si="33"/>
        <v>-746179.4871900006</v>
      </c>
      <c r="AQ45" s="125">
        <f t="shared" si="21"/>
        <v>-2.0637656403093251E-2</v>
      </c>
      <c r="AR45" s="119">
        <v>114.881</v>
      </c>
      <c r="AS45" s="119">
        <f t="shared" si="8"/>
        <v>95.067361525704825</v>
      </c>
      <c r="AT45" s="124">
        <f t="shared" si="44"/>
        <v>1.1254436212983649E-2</v>
      </c>
      <c r="AU45" s="119">
        <f t="shared" si="10"/>
        <v>816114.62399999995</v>
      </c>
      <c r="AV45" s="58">
        <v>725</v>
      </c>
      <c r="AW45" s="126">
        <f t="shared" si="34"/>
        <v>816839.62399999995</v>
      </c>
      <c r="AX45" s="119">
        <v>2.0485226048470024</v>
      </c>
      <c r="AY45" s="58">
        <f t="shared" si="35"/>
        <v>398745.72146154428</v>
      </c>
      <c r="AZ45" s="127">
        <f t="shared" si="22"/>
        <v>2.4598768459985928E-2</v>
      </c>
      <c r="BA45" s="58">
        <f t="shared" si="45"/>
        <v>204.85226048470025</v>
      </c>
      <c r="BB45" s="58"/>
      <c r="BC45" s="119">
        <f t="shared" si="12"/>
        <v>1623320.3783900007</v>
      </c>
      <c r="BD45" s="58"/>
      <c r="BE45" s="119">
        <v>-948476.1867750017</v>
      </c>
      <c r="BF45" s="119">
        <v>68177.375900000334</v>
      </c>
      <c r="BG45" s="122">
        <v>2193175.648856</v>
      </c>
      <c r="BH45" s="119">
        <f t="shared" si="46"/>
        <v>6.065833522598043E-2</v>
      </c>
      <c r="BI45" s="119">
        <f t="shared" si="36"/>
        <v>-1.0143324751888304E-2</v>
      </c>
      <c r="BJ45" s="119">
        <v>641.31871999999998</v>
      </c>
      <c r="BK45" s="124"/>
      <c r="BL45" s="119">
        <v>1698674</v>
      </c>
      <c r="BM45" s="119">
        <f t="shared" si="52"/>
        <v>0.99978595604966669</v>
      </c>
      <c r="BN45" s="119">
        <f t="shared" si="47"/>
        <v>1.0932203389830508</v>
      </c>
      <c r="BO45" s="119">
        <v>1.0227009497336108</v>
      </c>
      <c r="BP45" s="119">
        <f t="shared" si="48"/>
        <v>7.4705260460643137E-3</v>
      </c>
      <c r="BQ45" s="119">
        <f t="shared" si="49"/>
        <v>3.6021972351909792E-2</v>
      </c>
      <c r="BR45" s="119">
        <f t="shared" si="53"/>
        <v>3.2476556295726017E-2</v>
      </c>
      <c r="BS45" s="119">
        <f t="shared" si="50"/>
        <v>-1827.933295971096</v>
      </c>
      <c r="BT45" s="124">
        <f t="shared" si="51"/>
        <v>-1.6637707005390714E-2</v>
      </c>
      <c r="BU45" s="119"/>
      <c r="BV45" s="119"/>
      <c r="BW45" s="59">
        <v>2595000</v>
      </c>
      <c r="BX45" s="119"/>
      <c r="BY45" s="119"/>
      <c r="BZ45" s="124">
        <f t="shared" si="42"/>
        <v>7.1771898431175027E-2</v>
      </c>
      <c r="CA45" s="119"/>
      <c r="CB45" s="145">
        <v>6.8301316113886235E-3</v>
      </c>
      <c r="CC45" s="145">
        <v>-1.0143324751888304E-2</v>
      </c>
      <c r="CD45" s="145">
        <v>9.0314349576491228E-3</v>
      </c>
      <c r="CE45" s="124">
        <v>-2.1187654708131911E-2</v>
      </c>
      <c r="CF45" s="146">
        <v>2.0637656403093251E-2</v>
      </c>
      <c r="CG45" s="124">
        <f t="shared" si="54"/>
        <v>-4.9861960907955465E-3</v>
      </c>
      <c r="CH45" s="146">
        <v>0.14645555955379663</v>
      </c>
      <c r="CI45" s="124">
        <v>1.1254436212983649E-2</v>
      </c>
      <c r="CJ45" s="117">
        <v>0.99978595604966669</v>
      </c>
      <c r="CK45" s="145">
        <f t="shared" si="37"/>
        <v>-2.1404395033330914E-4</v>
      </c>
      <c r="CL45" s="120">
        <v>92.600228740581798</v>
      </c>
      <c r="CM45" s="207"/>
      <c r="CN45" s="207">
        <v>641.31871999999998</v>
      </c>
      <c r="CO45" s="124"/>
      <c r="CP45" s="124"/>
      <c r="CQ45" s="124"/>
      <c r="CR45" s="124"/>
      <c r="CS45" s="124"/>
      <c r="CT45" s="124"/>
      <c r="CU45" s="124"/>
      <c r="CV45" s="124"/>
      <c r="CW45" s="124"/>
      <c r="CX45" s="124"/>
      <c r="CY45" s="124"/>
      <c r="CZ45" s="124"/>
      <c r="DA45" s="124"/>
      <c r="DB45" s="124"/>
      <c r="DC45" s="119"/>
      <c r="DG45" s="193"/>
      <c r="DH45" s="196"/>
      <c r="DI45" s="196"/>
      <c r="DN45" s="193"/>
      <c r="DO45" s="193"/>
      <c r="DU45" s="193"/>
      <c r="DV45" s="193"/>
      <c r="EB45" s="193"/>
      <c r="EC45" s="193"/>
    </row>
    <row r="46" spans="1:133" s="119" customFormat="1" ht="15" thickBot="1">
      <c r="A46" s="193">
        <v>2003</v>
      </c>
      <c r="B46" s="145">
        <v>0.15017255226305104</v>
      </c>
      <c r="D46" s="145"/>
      <c r="E46" s="145">
        <f>AVERAGE(B40:B55)</f>
        <v>0.18535232591766726</v>
      </c>
      <c r="F46" s="145"/>
      <c r="G46" s="145"/>
      <c r="H46" s="120">
        <v>1564.5947711626568</v>
      </c>
      <c r="I46" s="120">
        <f t="shared" si="27"/>
        <v>242.66333007416208</v>
      </c>
      <c r="J46" s="280">
        <f t="shared" si="28"/>
        <v>2.2885840790635603E-2</v>
      </c>
      <c r="K46" s="224"/>
      <c r="L46" s="224"/>
      <c r="M46" s="223">
        <f t="shared" si="41"/>
        <v>1.3223116877783944E-5</v>
      </c>
      <c r="N46" s="224"/>
      <c r="O46" s="120">
        <v>524.41676184845835</v>
      </c>
      <c r="P46" s="203">
        <f t="shared" si="29"/>
        <v>1.002005454476554</v>
      </c>
      <c r="Q46" s="160">
        <f t="shared" si="30"/>
        <v>2.2885840790635603E-2</v>
      </c>
      <c r="R46" s="160">
        <v>2.0683545860444186E-2</v>
      </c>
      <c r="S46" s="145">
        <f>AVERAGE(Q34:Q46)</f>
        <v>-1.0802163281216338E-3</v>
      </c>
      <c r="T46" s="117">
        <v>87.852662667668497</v>
      </c>
      <c r="U46" s="117">
        <v>2477.5729999999999</v>
      </c>
      <c r="V46" s="117"/>
      <c r="W46" s="119">
        <v>5983</v>
      </c>
      <c r="X46" s="124">
        <f t="shared" si="40"/>
        <v>-0.15779842342342343</v>
      </c>
      <c r="Y46" s="119">
        <v>42324219.772408746</v>
      </c>
      <c r="Z46" s="117">
        <v>16910379.472739432</v>
      </c>
      <c r="AA46" s="119">
        <v>1.2311289245156982</v>
      </c>
      <c r="AB46" s="119">
        <f t="shared" si="0"/>
        <v>2012.4399245794896</v>
      </c>
      <c r="AC46" s="119">
        <f t="shared" si="43"/>
        <v>3861872.2152680405</v>
      </c>
      <c r="AD46" s="119">
        <f t="shared" si="2"/>
        <v>0.22837288905867636</v>
      </c>
      <c r="AE46" s="119">
        <f t="shared" si="32"/>
        <v>4.711431981452685E-3</v>
      </c>
      <c r="AF46" s="119">
        <f t="shared" si="3"/>
        <v>14823319.259</v>
      </c>
      <c r="AG46" s="145">
        <f t="shared" si="4"/>
        <v>0.35023254625152839</v>
      </c>
      <c r="AH46" s="119">
        <f t="shared" si="5"/>
        <v>0.35023254625152839</v>
      </c>
      <c r="AI46" s="120">
        <v>196.50432480766332</v>
      </c>
      <c r="AJ46" s="122">
        <f>+'Base_Budget Constraint'!T68/'Base_Budget Constraint'!$T$60</f>
        <v>1.6718068548224971</v>
      </c>
      <c r="AK46" s="119">
        <v>391457.80328299926</v>
      </c>
      <c r="AL46" s="58">
        <v>57647.637999999999</v>
      </c>
      <c r="AM46" s="119">
        <v>82.24</v>
      </c>
      <c r="AN46" s="58">
        <f t="shared" si="6"/>
        <v>492.04192</v>
      </c>
      <c r="AO46" s="58">
        <f t="shared" si="7"/>
        <v>58139.679920000002</v>
      </c>
      <c r="AP46" s="121">
        <f t="shared" si="33"/>
        <v>449597.48320299928</v>
      </c>
      <c r="AQ46" s="125">
        <f t="shared" si="21"/>
        <v>1.062269985414103E-2</v>
      </c>
      <c r="AR46" s="119">
        <v>125.95</v>
      </c>
      <c r="AS46" s="119">
        <f t="shared" si="8"/>
        <v>102.3044763971785</v>
      </c>
      <c r="AT46" s="124">
        <f t="shared" si="44"/>
        <v>1.1609573311034746E-2</v>
      </c>
      <c r="AU46" s="119">
        <f t="shared" si="10"/>
        <v>753558.85</v>
      </c>
      <c r="AV46" s="58">
        <v>56183.18</v>
      </c>
      <c r="AW46" s="126">
        <f t="shared" si="34"/>
        <v>809742.03</v>
      </c>
      <c r="AX46" s="119">
        <v>2.3399851537476088</v>
      </c>
      <c r="AY46" s="58">
        <f t="shared" si="35"/>
        <v>346045.798069768</v>
      </c>
      <c r="AZ46" s="127">
        <f t="shared" si="22"/>
        <v>2.0463514649544975E-2</v>
      </c>
      <c r="BA46" s="58">
        <f t="shared" si="45"/>
        <v>233.99851537476087</v>
      </c>
      <c r="BB46" s="58"/>
      <c r="BC46" s="119">
        <f t="shared" si="12"/>
        <v>362101.04671700072</v>
      </c>
      <c r="BD46" s="58"/>
      <c r="BE46" s="119">
        <v>-131185.68306900002</v>
      </c>
      <c r="BF46" s="119">
        <v>332888.88089799974</v>
      </c>
      <c r="BG46" s="122">
        <v>3461744.32</v>
      </c>
      <c r="BH46" s="119">
        <f t="shared" si="46"/>
        <v>8.179109594021905E-2</v>
      </c>
      <c r="BI46" s="119">
        <f t="shared" si="36"/>
        <v>2.113276071423862E-2</v>
      </c>
      <c r="BJ46" s="119">
        <v>983.37247200000002</v>
      </c>
      <c r="BK46" s="124"/>
      <c r="BL46" s="119">
        <v>2206814</v>
      </c>
      <c r="BM46" s="119">
        <f t="shared" si="52"/>
        <v>1.0432074548554962</v>
      </c>
      <c r="BN46" s="119">
        <f t="shared" si="47"/>
        <v>1.0281366637955784</v>
      </c>
      <c r="BO46" s="119">
        <v>1.0267723669309177</v>
      </c>
      <c r="BP46" s="119">
        <f t="shared" si="48"/>
        <v>5.3402784072797737E-3</v>
      </c>
      <c r="BQ46" s="119">
        <f t="shared" si="49"/>
        <v>4.3832815420574898E-2</v>
      </c>
      <c r="BR46" s="119">
        <f t="shared" si="53"/>
        <v>3.3714775287617745E-2</v>
      </c>
      <c r="BS46" s="119">
        <f t="shared" si="50"/>
        <v>-1944.5909647424617</v>
      </c>
      <c r="BT46" s="124">
        <f t="shared" si="51"/>
        <v>-1.7369799413633473E-2</v>
      </c>
      <c r="BW46" s="59">
        <v>2721000</v>
      </c>
      <c r="BZ46" s="124">
        <f t="shared" si="42"/>
        <v>6.4289430842002809E-2</v>
      </c>
      <c r="CB46" s="194">
        <v>4.711431981452685E-3</v>
      </c>
      <c r="CC46" s="194">
        <v>2.113276071423862E-2</v>
      </c>
      <c r="CD46" s="194">
        <v>7.4705260460643137E-3</v>
      </c>
      <c r="CE46" s="196">
        <v>-1.6637707005390714E-2</v>
      </c>
      <c r="CF46" s="197">
        <v>-1.062269985414103E-2</v>
      </c>
      <c r="CG46" s="196">
        <f t="shared" si="54"/>
        <v>4.8965552290252616E-2</v>
      </c>
      <c r="CH46" s="197">
        <v>9.3220338983050821E-2</v>
      </c>
      <c r="CI46" s="196">
        <v>1.1609573311034746E-2</v>
      </c>
      <c r="CJ46" s="193">
        <v>1.0432074548554962</v>
      </c>
      <c r="CK46" s="194">
        <f t="shared" si="37"/>
        <v>4.3207454855496152E-2</v>
      </c>
      <c r="CL46" s="206">
        <v>129.46925229607498</v>
      </c>
      <c r="CM46" s="208"/>
      <c r="CN46" s="208">
        <v>983.37247200000002</v>
      </c>
      <c r="CO46" s="196"/>
      <c r="CP46" s="196"/>
      <c r="CQ46" s="196"/>
      <c r="CR46" s="196"/>
      <c r="CS46" s="196"/>
      <c r="CT46" s="196"/>
      <c r="CU46" s="196"/>
      <c r="CV46" s="196"/>
      <c r="CW46" s="196"/>
      <c r="CX46" s="196"/>
      <c r="CY46" s="196"/>
      <c r="CZ46" s="196"/>
      <c r="DA46" s="196"/>
      <c r="DB46" s="196"/>
      <c r="DC46" s="195"/>
      <c r="DG46" s="117"/>
      <c r="DH46" s="124"/>
      <c r="DI46" s="124"/>
      <c r="DN46" s="117"/>
      <c r="DO46" s="117"/>
      <c r="DU46" s="117"/>
      <c r="DV46" s="117"/>
      <c r="EB46" s="117"/>
      <c r="EC46" s="117"/>
    </row>
    <row r="47" spans="1:133" s="119" customFormat="1">
      <c r="A47" s="117">
        <v>2004</v>
      </c>
      <c r="B47" s="145">
        <v>8.1180811808118092E-2</v>
      </c>
      <c r="D47" s="145"/>
      <c r="E47" s="145">
        <f>AVERAGE(B40:B55)</f>
        <v>0.18535232591766726</v>
      </c>
      <c r="F47" s="145"/>
      <c r="G47" s="145"/>
      <c r="H47" s="120">
        <v>1596.9561388650106</v>
      </c>
      <c r="I47" s="120">
        <f t="shared" si="27"/>
        <v>247.68246819039908</v>
      </c>
      <c r="J47" s="280">
        <f t="shared" si="28"/>
        <v>2.0683545860444186E-2</v>
      </c>
      <c r="K47" s="223"/>
      <c r="L47" s="223"/>
      <c r="M47" s="223"/>
      <c r="N47" s="223">
        <f>AVERAGE($J$47:$J$56)</f>
        <v>3.0552796058927644E-2</v>
      </c>
      <c r="O47" s="120">
        <v>524.33711105053465</v>
      </c>
      <c r="P47" s="203">
        <f t="shared" si="29"/>
        <v>0.99984811546136898</v>
      </c>
      <c r="Q47" s="160">
        <f t="shared" si="30"/>
        <v>2.0683545860444186E-2</v>
      </c>
      <c r="R47" s="160">
        <v>2.1911565460828175E-3</v>
      </c>
      <c r="S47" s="145">
        <f>AVERAGE(Q47:Q57)</f>
        <v>3.0544325292900097E-2</v>
      </c>
      <c r="T47" s="117">
        <v>87.839319206531712</v>
      </c>
      <c r="U47" s="117">
        <v>2390.6869999999999</v>
      </c>
      <c r="V47" s="117"/>
      <c r="W47" s="119">
        <v>6196</v>
      </c>
      <c r="X47" s="124">
        <f t="shared" si="40"/>
        <v>3.5600869129199353E-2</v>
      </c>
      <c r="Y47" s="119">
        <v>47999043.589724079</v>
      </c>
      <c r="Z47" s="117">
        <v>17596504.314825632</v>
      </c>
      <c r="AA47" s="119">
        <v>1.2712090848363393</v>
      </c>
      <c r="AB47" s="119">
        <f t="shared" si="0"/>
        <v>1880.6402727272728</v>
      </c>
      <c r="AC47" s="119">
        <f t="shared" si="43"/>
        <v>3608948.6833636365</v>
      </c>
      <c r="AD47" s="119">
        <f t="shared" si="2"/>
        <v>0.20509463804825023</v>
      </c>
      <c r="AE47" s="119">
        <f t="shared" si="32"/>
        <v>-2.3278251010426132E-2</v>
      </c>
      <c r="AF47" s="119">
        <f t="shared" si="3"/>
        <v>14812696.651999999</v>
      </c>
      <c r="AG47" s="145">
        <f t="shared" si="4"/>
        <v>0.30860399591735177</v>
      </c>
      <c r="AH47" s="119">
        <f t="shared" si="5"/>
        <v>0.30860399591735177</v>
      </c>
      <c r="AI47" s="120">
        <v>153.91696165146118</v>
      </c>
      <c r="AJ47" s="122">
        <f>+'Base_Budget Constraint'!T69/'Base_Budget Constraint'!$T$60</f>
        <v>1.7324477948291788</v>
      </c>
      <c r="AK47" s="119">
        <v>961610.60416584101</v>
      </c>
      <c r="AL47" s="58">
        <v>67734</v>
      </c>
      <c r="AM47" s="119">
        <v>108.599</v>
      </c>
      <c r="AN47" s="58">
        <f t="shared" si="6"/>
        <v>672.87940400000002</v>
      </c>
      <c r="AO47" s="58">
        <f t="shared" si="7"/>
        <v>68406.879404000007</v>
      </c>
      <c r="AP47" s="121">
        <f t="shared" si="33"/>
        <v>1030017.483569841</v>
      </c>
      <c r="AQ47" s="125">
        <f t="shared" si="21"/>
        <v>2.1459125152034349E-2</v>
      </c>
      <c r="AR47" s="119">
        <v>220.559</v>
      </c>
      <c r="AS47" s="119">
        <f t="shared" si="8"/>
        <v>173.50332264844982</v>
      </c>
      <c r="AT47" s="124">
        <f t="shared" si="44"/>
        <v>1.8921535221166144E-2</v>
      </c>
      <c r="AU47" s="119">
        <f t="shared" si="10"/>
        <v>1366583.564</v>
      </c>
      <c r="AV47" s="58">
        <v>126299</v>
      </c>
      <c r="AW47" s="126">
        <f t="shared" si="34"/>
        <v>1492882.564</v>
      </c>
      <c r="AX47" s="119">
        <v>2.4413584287501475</v>
      </c>
      <c r="AY47" s="58">
        <f t="shared" si="35"/>
        <v>611496.67595686903</v>
      </c>
      <c r="AZ47" s="127">
        <f t="shared" si="22"/>
        <v>3.4751031512643284E-2</v>
      </c>
      <c r="BA47" s="58">
        <f t="shared" si="45"/>
        <v>244.13584287501476</v>
      </c>
      <c r="BB47" s="58"/>
      <c r="BC47" s="119">
        <f t="shared" si="12"/>
        <v>404972.959834159</v>
      </c>
      <c r="BD47" s="58"/>
      <c r="BE47" s="119">
        <v>665689.98829399887</v>
      </c>
      <c r="BF47" s="119">
        <v>140168.53053524159</v>
      </c>
      <c r="BG47" s="122">
        <v>4060380.1901509999</v>
      </c>
      <c r="BH47" s="119">
        <f t="shared" si="46"/>
        <v>8.4592939493908378E-2</v>
      </c>
      <c r="BI47" s="119">
        <f t="shared" si="36"/>
        <v>2.8018435536893288E-3</v>
      </c>
      <c r="BJ47" s="119">
        <v>1168.0470749999999</v>
      </c>
      <c r="BK47" s="124"/>
      <c r="BL47" s="119">
        <v>2487567</v>
      </c>
      <c r="BM47" s="119">
        <f t="shared" si="52"/>
        <v>1.0405741836362854</v>
      </c>
      <c r="BN47" s="119">
        <f t="shared" si="47"/>
        <v>1.0985758168109465</v>
      </c>
      <c r="BO47" s="119">
        <v>1.0339274684549546</v>
      </c>
      <c r="BP47" s="119">
        <f t="shared" si="48"/>
        <v>9.1990920346340065E-3</v>
      </c>
      <c r="BQ47" s="119">
        <f t="shared" si="49"/>
        <v>3.7541091744757886E-2</v>
      </c>
      <c r="BR47" s="119">
        <f t="shared" si="53"/>
        <v>4.1508889812961275E-2</v>
      </c>
      <c r="BS47" s="119">
        <f t="shared" si="50"/>
        <v>-1802.576982868819</v>
      </c>
      <c r="BT47" s="124">
        <f t="shared" si="51"/>
        <v>-1.5135249494303116E-2</v>
      </c>
      <c r="BW47" s="59">
        <v>3129000</v>
      </c>
      <c r="BZ47" s="124">
        <f t="shared" si="42"/>
        <v>6.5188798900773823E-2</v>
      </c>
      <c r="CB47" s="145">
        <v>-2.3278251010426132E-2</v>
      </c>
      <c r="CC47" s="145">
        <v>2.8018435536893288E-3</v>
      </c>
      <c r="CD47" s="145">
        <v>5.3402784072797737E-3</v>
      </c>
      <c r="CE47" s="124">
        <v>-1.7369799413633473E-2</v>
      </c>
      <c r="CF47" s="146">
        <v>-2.1459125152034349E-2</v>
      </c>
      <c r="CG47" s="124">
        <f t="shared" si="54"/>
        <v>4.7712602950446478E-3</v>
      </c>
      <c r="CH47" s="146">
        <v>2.8136663795578443E-2</v>
      </c>
      <c r="CI47" s="124">
        <v>1.8921535221166144E-2</v>
      </c>
      <c r="CJ47" s="117">
        <v>1.0405741836362854</v>
      </c>
      <c r="CK47" s="145">
        <f t="shared" si="37"/>
        <v>4.0574183636285399E-2</v>
      </c>
      <c r="CL47" s="120">
        <v>143.00410455079111</v>
      </c>
      <c r="CM47" s="207"/>
      <c r="CN47" s="207">
        <v>1168.0470749999999</v>
      </c>
      <c r="CO47" s="124"/>
      <c r="CP47" s="124"/>
      <c r="CQ47" s="124"/>
      <c r="CR47" s="124"/>
      <c r="CS47" s="124"/>
      <c r="CT47" s="124"/>
      <c r="CU47" s="124"/>
      <c r="CV47" s="124"/>
      <c r="CW47" s="124"/>
      <c r="CX47" s="124"/>
      <c r="CY47" s="124"/>
      <c r="CZ47" s="124"/>
      <c r="DA47" s="124"/>
      <c r="DB47" s="124"/>
      <c r="DG47" s="117"/>
      <c r="DH47" s="124"/>
      <c r="DI47" s="124"/>
      <c r="DN47" s="117"/>
      <c r="DO47" s="117"/>
      <c r="DU47" s="117"/>
      <c r="DV47" s="117"/>
      <c r="EB47" s="117"/>
      <c r="EC47" s="117"/>
    </row>
    <row r="48" spans="1:133" s="119" customFormat="1">
      <c r="A48" s="117">
        <v>2005</v>
      </c>
      <c r="B48" s="145">
        <v>8.8737201365187701E-2</v>
      </c>
      <c r="D48" s="145"/>
      <c r="E48" s="145">
        <f>AVERAGE(B40:B55)</f>
        <v>0.18535232591766726</v>
      </c>
      <c r="F48" s="145"/>
      <c r="G48" s="145"/>
      <c r="H48" s="120">
        <v>1600.4553197624919</v>
      </c>
      <c r="I48" s="120">
        <f t="shared" si="27"/>
        <v>248.22517925192443</v>
      </c>
      <c r="J48" s="280">
        <f t="shared" si="28"/>
        <v>2.1911565460828175E-3</v>
      </c>
      <c r="K48" s="223"/>
      <c r="L48" s="223"/>
      <c r="M48" s="223"/>
      <c r="N48" s="223">
        <f t="shared" ref="N48:N57" si="55">AVERAGE($J$47:$J$56)</f>
        <v>3.0552796058927644E-2</v>
      </c>
      <c r="O48" s="120">
        <v>514.75915789333851</v>
      </c>
      <c r="P48" s="203">
        <f t="shared" si="29"/>
        <v>0.98173321522482693</v>
      </c>
      <c r="Q48" s="160">
        <f t="shared" si="30"/>
        <v>2.1911565460828175E-3</v>
      </c>
      <c r="R48" s="160">
        <v>2.8800016951833873E-2</v>
      </c>
      <c r="S48" s="145">
        <f>AVERAGE(Q47:Q57)</f>
        <v>3.0544325292900097E-2</v>
      </c>
      <c r="T48" s="117">
        <v>86.234777267788274</v>
      </c>
      <c r="U48" s="117">
        <v>2271.1390000000001</v>
      </c>
      <c r="V48" s="117"/>
      <c r="W48" s="119">
        <v>6121</v>
      </c>
      <c r="X48" s="124">
        <f t="shared" si="40"/>
        <v>-1.2104583602324026E-2</v>
      </c>
      <c r="Y48" s="119">
        <v>53962326.67652221</v>
      </c>
      <c r="Z48" s="117">
        <v>17971924.091679085</v>
      </c>
      <c r="AA48" s="119">
        <v>1.314629258517034</v>
      </c>
      <c r="AB48" s="119">
        <f t="shared" si="0"/>
        <v>1727.5889649390244</v>
      </c>
      <c r="AC48" s="119">
        <f t="shared" si="43"/>
        <v>3315243.223717988</v>
      </c>
      <c r="AD48" s="119">
        <f t="shared" si="2"/>
        <v>0.1844679070981014</v>
      </c>
      <c r="AE48" s="119">
        <f t="shared" si="32"/>
        <v>-2.0626730950148831E-2</v>
      </c>
      <c r="AF48" s="119">
        <f t="shared" si="3"/>
        <v>13901641.819</v>
      </c>
      <c r="AG48" s="145">
        <f t="shared" si="4"/>
        <v>0.25761753940547361</v>
      </c>
      <c r="AH48" s="119">
        <f t="shared" si="5"/>
        <v>0.25761753940547361</v>
      </c>
      <c r="AI48" s="120">
        <v>157.17842768550381</v>
      </c>
      <c r="AJ48" s="122">
        <f>+'Base_Budget Constraint'!T70/'Base_Budget Constraint'!$T$60</f>
        <v>1.6168685006768579</v>
      </c>
      <c r="AK48" s="119">
        <v>703508.80912967178</v>
      </c>
      <c r="AL48" s="58">
        <v>83248.619275000005</v>
      </c>
      <c r="AM48" s="119">
        <v>89.748999999999995</v>
      </c>
      <c r="AN48" s="58">
        <f t="shared" si="6"/>
        <v>549.35362899999996</v>
      </c>
      <c r="AO48" s="58">
        <f t="shared" si="7"/>
        <v>83797.972904000009</v>
      </c>
      <c r="AP48" s="121">
        <f t="shared" si="33"/>
        <v>787306.78203367174</v>
      </c>
      <c r="AQ48" s="125">
        <f t="shared" si="21"/>
        <v>1.4589933950646556E-2</v>
      </c>
      <c r="AR48" s="119">
        <v>201.61099999999999</v>
      </c>
      <c r="AS48" s="119">
        <f t="shared" si="8"/>
        <v>153.35958689024389</v>
      </c>
      <c r="AT48" s="124">
        <f t="shared" si="44"/>
        <v>1.6375377824939519E-2</v>
      </c>
      <c r="AU48" s="119">
        <f t="shared" si="10"/>
        <v>1234060.9309999999</v>
      </c>
      <c r="AV48" s="58">
        <v>137839.10709999999</v>
      </c>
      <c r="AW48" s="126">
        <f t="shared" si="34"/>
        <v>1371900.0380999998</v>
      </c>
      <c r="AX48" s="119">
        <v>2.607226278825244</v>
      </c>
      <c r="AY48" s="58">
        <f t="shared" si="35"/>
        <v>526191.39705746842</v>
      </c>
      <c r="AZ48" s="127">
        <f t="shared" si="22"/>
        <v>2.927852323286256E-2</v>
      </c>
      <c r="BA48" s="58">
        <f t="shared" si="45"/>
        <v>260.72262788252442</v>
      </c>
      <c r="BB48" s="58"/>
      <c r="BC48" s="119">
        <f t="shared" si="12"/>
        <v>530552.12187032809</v>
      </c>
      <c r="BD48" s="58"/>
      <c r="BE48" s="119">
        <v>374282.92539317161</v>
      </c>
      <c r="BF48" s="119">
        <v>198677.61822190043</v>
      </c>
      <c r="BG48" s="122">
        <v>4240519.0591190001</v>
      </c>
      <c r="BH48" s="119">
        <f t="shared" si="46"/>
        <v>7.8582954447810244E-2</v>
      </c>
      <c r="BI48" s="119">
        <f t="shared" si="36"/>
        <v>-6.0099850460981347E-3</v>
      </c>
      <c r="BJ48" s="119">
        <v>1292.9581759999999</v>
      </c>
      <c r="BK48" s="124"/>
      <c r="BL48" s="119">
        <v>2924898</v>
      </c>
      <c r="BM48" s="119">
        <f t="shared" si="52"/>
        <v>1.0213349066460404</v>
      </c>
      <c r="BN48" s="119">
        <f t="shared" si="47"/>
        <v>1.124809354346721</v>
      </c>
      <c r="BO48" s="119">
        <v>1.0322594410070403</v>
      </c>
      <c r="BP48" s="119">
        <f t="shared" si="48"/>
        <v>1.1923975386202138E-2</v>
      </c>
      <c r="BQ48" s="119">
        <f t="shared" si="49"/>
        <v>4.1216323615595525E-2</v>
      </c>
      <c r="BR48" s="119">
        <f t="shared" si="53"/>
        <v>3.4699822975934116E-2</v>
      </c>
      <c r="BS48" s="119">
        <f t="shared" si="50"/>
        <v>-1667.6419336804631</v>
      </c>
      <c r="BT48" s="124">
        <f t="shared" si="51"/>
        <v>-1.0635885485388415E-2</v>
      </c>
      <c r="BW48" s="59">
        <v>3082000</v>
      </c>
      <c r="BZ48" s="124">
        <f t="shared" si="42"/>
        <v>5.7113919836612764E-2</v>
      </c>
      <c r="CB48" s="145">
        <v>-2.0626730950148831E-2</v>
      </c>
      <c r="CC48" s="145">
        <v>-6.0099850460981347E-3</v>
      </c>
      <c r="CD48" s="145">
        <v>9.1990920346340065E-3</v>
      </c>
      <c r="CE48" s="124">
        <v>-1.5135249494303116E-2</v>
      </c>
      <c r="CF48" s="146">
        <v>-1.4589933950646556E-2</v>
      </c>
      <c r="CG48" s="124">
        <f t="shared" si="54"/>
        <v>-4.0878183416028068E-3</v>
      </c>
      <c r="CH48" s="146">
        <v>9.8575816810946515E-2</v>
      </c>
      <c r="CI48" s="124">
        <v>1.6375377824939519E-2</v>
      </c>
      <c r="CJ48" s="117">
        <v>1.0213349066460404</v>
      </c>
      <c r="CK48" s="145">
        <f t="shared" si="37"/>
        <v>2.133490664604043E-2</v>
      </c>
      <c r="CL48" s="120">
        <v>16.010909192516721</v>
      </c>
      <c r="CM48" s="207"/>
      <c r="CN48" s="207">
        <v>1292.9581759999999</v>
      </c>
      <c r="CO48" s="124"/>
      <c r="CP48" s="124"/>
      <c r="CQ48" s="124"/>
      <c r="CR48" s="124"/>
      <c r="CS48" s="124"/>
      <c r="CT48" s="124"/>
      <c r="CU48" s="124"/>
      <c r="CV48" s="124"/>
      <c r="CW48" s="124"/>
      <c r="CX48" s="124"/>
      <c r="CY48" s="124"/>
      <c r="CZ48" s="124"/>
      <c r="DA48" s="124"/>
      <c r="DB48" s="124"/>
      <c r="DG48" s="117"/>
      <c r="DH48" s="124"/>
      <c r="DI48" s="124"/>
      <c r="DN48" s="117"/>
      <c r="DO48" s="117"/>
      <c r="DU48" s="117"/>
      <c r="DV48" s="117"/>
      <c r="EB48" s="117"/>
      <c r="EC48" s="117"/>
    </row>
    <row r="49" spans="1:138" s="119" customFormat="1">
      <c r="A49" s="117">
        <v>2006</v>
      </c>
      <c r="B49" s="145">
        <v>0.14106583072100309</v>
      </c>
      <c r="D49" s="145"/>
      <c r="E49" s="145">
        <f>AVERAGE(B40:B55)</f>
        <v>0.18535232591766726</v>
      </c>
      <c r="F49" s="145"/>
      <c r="G49" s="145"/>
      <c r="H49" s="120">
        <v>1646.5484601023045</v>
      </c>
      <c r="I49" s="120">
        <f t="shared" si="27"/>
        <v>255.37406862225188</v>
      </c>
      <c r="J49" s="280">
        <f t="shared" si="28"/>
        <v>2.8800016951833873E-2</v>
      </c>
      <c r="K49" s="223"/>
      <c r="L49" s="223"/>
      <c r="M49" s="223"/>
      <c r="N49" s="223">
        <f t="shared" si="55"/>
        <v>3.0552796058927644E-2</v>
      </c>
      <c r="O49" s="120">
        <v>518.77371478924681</v>
      </c>
      <c r="P49" s="203">
        <f t="shared" si="29"/>
        <v>1.0077989033013768</v>
      </c>
      <c r="Q49" s="160">
        <f t="shared" si="30"/>
        <v>2.8800016951833873E-2</v>
      </c>
      <c r="R49" s="160">
        <v>3.5180733340831605E-2</v>
      </c>
      <c r="S49" s="145">
        <f>AVERAGE(Q47:Q57)</f>
        <v>3.0544325292900097E-2</v>
      </c>
      <c r="T49" s="117">
        <v>86.90731395691553</v>
      </c>
      <c r="U49" s="117">
        <v>2230.0569999999998</v>
      </c>
      <c r="V49" s="117"/>
      <c r="W49" s="119">
        <v>5323</v>
      </c>
      <c r="X49" s="124">
        <f t="shared" si="40"/>
        <v>-0.13037085443554974</v>
      </c>
      <c r="Y49" s="119">
        <v>59996506.118773416</v>
      </c>
      <c r="Z49" s="117">
        <v>18835855.544550456</v>
      </c>
      <c r="AA49" s="119">
        <v>1.3480293921175686</v>
      </c>
      <c r="AB49" s="119">
        <f t="shared" si="0"/>
        <v>1654.3088845391474</v>
      </c>
      <c r="AC49" s="119">
        <f t="shared" si="43"/>
        <v>3174618.7494306238</v>
      </c>
      <c r="AD49" s="119">
        <f t="shared" si="2"/>
        <v>0.168541255900059</v>
      </c>
      <c r="AE49" s="119">
        <f t="shared" si="32"/>
        <v>-1.5926651198042402E-2</v>
      </c>
      <c r="AF49" s="119">
        <f t="shared" si="3"/>
        <v>11870593.410999998</v>
      </c>
      <c r="AG49" s="145">
        <f t="shared" si="4"/>
        <v>0.1978547448663113</v>
      </c>
      <c r="AH49" s="119">
        <f t="shared" si="5"/>
        <v>0.1978547448663113</v>
      </c>
      <c r="AI49" s="120">
        <v>150.90038184518141</v>
      </c>
      <c r="AJ49" s="122">
        <f>+'Base_Budget Constraint'!T71/'Base_Budget Constraint'!$T$60</f>
        <v>1.2541541712284376</v>
      </c>
      <c r="AK49" s="119">
        <v>1194283.0230276671</v>
      </c>
      <c r="AL49" s="58">
        <v>53600.311565000004</v>
      </c>
      <c r="AM49" s="119">
        <v>93.608000000000004</v>
      </c>
      <c r="AN49" s="58">
        <f t="shared" si="6"/>
        <v>498.27538400000003</v>
      </c>
      <c r="AO49" s="58">
        <f t="shared" si="7"/>
        <v>54098.586949000004</v>
      </c>
      <c r="AP49" s="121">
        <f t="shared" si="33"/>
        <v>1248381.609976667</v>
      </c>
      <c r="AQ49" s="125">
        <f t="shared" si="21"/>
        <v>2.0807571819353624E-2</v>
      </c>
      <c r="AR49" s="119">
        <v>210.93700000000001</v>
      </c>
      <c r="AS49" s="119">
        <f t="shared" si="8"/>
        <v>156.47804212091179</v>
      </c>
      <c r="AT49" s="124">
        <f t="shared" si="44"/>
        <v>1.594200816202938E-2</v>
      </c>
      <c r="AU49" s="119">
        <f t="shared" si="10"/>
        <v>1122817.6510000001</v>
      </c>
      <c r="AV49" s="58">
        <v>173464.18300000002</v>
      </c>
      <c r="AW49" s="126">
        <f t="shared" si="34"/>
        <v>1296281.834</v>
      </c>
      <c r="AX49" s="119">
        <v>2.857380081158412</v>
      </c>
      <c r="AY49" s="58">
        <f t="shared" si="35"/>
        <v>453660.97515262081</v>
      </c>
      <c r="AZ49" s="127">
        <f t="shared" si="22"/>
        <v>2.4084967846542703E-2</v>
      </c>
      <c r="BA49" s="58">
        <f t="shared" si="45"/>
        <v>285.73800811584118</v>
      </c>
      <c r="BB49" s="58"/>
      <c r="BC49" s="119">
        <f t="shared" si="12"/>
        <v>-71465.372027666905</v>
      </c>
      <c r="BD49" s="58"/>
      <c r="BE49" s="119">
        <v>264412.04938700236</v>
      </c>
      <c r="BF49" s="119">
        <v>604546.5072820643</v>
      </c>
      <c r="BG49" s="122">
        <v>4789622.2997869998</v>
      </c>
      <c r="BH49" s="119">
        <f t="shared" si="46"/>
        <v>7.9831687036993754E-2</v>
      </c>
      <c r="BI49" s="119">
        <f t="shared" si="36"/>
        <v>1.2487325891835099E-3</v>
      </c>
      <c r="BJ49" s="119">
        <v>1703.1192643459999</v>
      </c>
      <c r="BK49" s="124"/>
      <c r="BL49" s="119">
        <v>3371323</v>
      </c>
      <c r="BM49" s="119">
        <f t="shared" si="52"/>
        <v>1.0480711719270708</v>
      </c>
      <c r="BN49" s="119">
        <f t="shared" si="47"/>
        <v>1.0596610169491525</v>
      </c>
      <c r="BO49" s="119">
        <v>1.0285267248150134</v>
      </c>
      <c r="BP49" s="119">
        <f t="shared" si="48"/>
        <v>8.3691135450840674E-3</v>
      </c>
      <c r="BQ49" s="119">
        <f t="shared" si="49"/>
        <v>4.6369218365270491E-2</v>
      </c>
      <c r="BR49" s="119">
        <f t="shared" si="53"/>
        <v>3.8012284676531623E-2</v>
      </c>
      <c r="BS49" s="119">
        <f t="shared" si="50"/>
        <v>-1591.4248242771298</v>
      </c>
      <c r="BT49" s="124">
        <f t="shared" si="51"/>
        <v>-8.6787688195699847E-3</v>
      </c>
      <c r="BW49" s="59">
        <v>2867000</v>
      </c>
      <c r="BZ49" s="124">
        <f t="shared" si="42"/>
        <v>4.7786115983558773E-2</v>
      </c>
      <c r="CB49" s="145">
        <v>-1.5926651198042402E-2</v>
      </c>
      <c r="CC49" s="145">
        <v>1.2487325891835099E-3</v>
      </c>
      <c r="CD49" s="145">
        <v>1.1923975386202138E-2</v>
      </c>
      <c r="CE49" s="124">
        <v>-1.0635885485388415E-2</v>
      </c>
      <c r="CF49" s="146">
        <v>-2.0807571819353624E-2</v>
      </c>
      <c r="CG49" s="124">
        <f t="shared" si="54"/>
        <v>1.2747505920055902E-2</v>
      </c>
      <c r="CH49" s="146">
        <v>0.12480935434672102</v>
      </c>
      <c r="CI49" s="124">
        <v>1.594200816202938E-2</v>
      </c>
      <c r="CJ49" s="117">
        <v>1.0480711719270708</v>
      </c>
      <c r="CK49" s="145">
        <f t="shared" si="37"/>
        <v>4.8071171927070777E-2</v>
      </c>
      <c r="CL49" s="120">
        <v>127.67611677686176</v>
      </c>
      <c r="CM49" s="207"/>
      <c r="CN49" s="207">
        <v>1703.1192643459999</v>
      </c>
      <c r="CO49" s="124"/>
      <c r="CP49" s="124"/>
      <c r="CQ49" s="124"/>
      <c r="CR49" s="124"/>
      <c r="CS49" s="124"/>
      <c r="CT49" s="124"/>
      <c r="CU49" s="124"/>
      <c r="CV49" s="124"/>
      <c r="CW49" s="124"/>
      <c r="CX49" s="124"/>
      <c r="CY49" s="124"/>
      <c r="CZ49" s="124"/>
      <c r="DA49" s="124"/>
      <c r="DB49" s="124"/>
      <c r="DG49" s="117"/>
      <c r="DH49" s="124"/>
      <c r="DI49" s="124"/>
      <c r="DN49" s="117"/>
      <c r="DO49" s="117"/>
      <c r="DU49" s="117"/>
      <c r="DV49" s="117"/>
      <c r="EB49" s="117"/>
      <c r="EC49" s="117"/>
    </row>
    <row r="50" spans="1:138" s="119" customFormat="1">
      <c r="A50" s="117">
        <v>2007</v>
      </c>
      <c r="B50" s="145">
        <v>0.29807692307692291</v>
      </c>
      <c r="D50" s="145"/>
      <c r="E50" s="145">
        <f>AVERAGE(B40:B55)</f>
        <v>0.18535232591766726</v>
      </c>
      <c r="F50" s="145"/>
      <c r="G50" s="145"/>
      <c r="H50" s="120">
        <v>1704.4752424099206</v>
      </c>
      <c r="I50" s="120">
        <f t="shared" si="27"/>
        <v>264.35831563261456</v>
      </c>
      <c r="J50" s="280">
        <f t="shared" si="28"/>
        <v>3.5180733340831605E-2</v>
      </c>
      <c r="K50" s="223"/>
      <c r="L50" s="223"/>
      <c r="M50" s="223"/>
      <c r="N50" s="223">
        <f t="shared" si="55"/>
        <v>3.0552796058927644E-2</v>
      </c>
      <c r="O50" s="120">
        <v>526.06215801601581</v>
      </c>
      <c r="P50" s="203">
        <f t="shared" si="29"/>
        <v>1.0140493687690595</v>
      </c>
      <c r="Q50" s="160">
        <f t="shared" si="30"/>
        <v>3.5180733340831605E-2</v>
      </c>
      <c r="R50" s="160">
        <v>4.4726840891131436E-2</v>
      </c>
      <c r="S50" s="145">
        <f>AVERAGE(Q47:Q57)</f>
        <v>3.0544325292900097E-2</v>
      </c>
      <c r="T50" s="117">
        <v>88.128306859424669</v>
      </c>
      <c r="U50" s="117">
        <v>2205.33</v>
      </c>
      <c r="V50" s="117"/>
      <c r="W50" s="119">
        <v>4732</v>
      </c>
      <c r="X50" s="124">
        <f t="shared" si="40"/>
        <v>-0.11102761600601163</v>
      </c>
      <c r="Y50" s="119">
        <v>69426262.232025474</v>
      </c>
      <c r="Z50" s="117">
        <v>19857064.596928742</v>
      </c>
      <c r="AA50" s="119">
        <v>1.4030460921843686</v>
      </c>
      <c r="AB50" s="119">
        <f t="shared" si="0"/>
        <v>1571.8157887219336</v>
      </c>
      <c r="AC50" s="119">
        <f t="shared" si="43"/>
        <v>3016314.4985573906</v>
      </c>
      <c r="AD50" s="119">
        <f t="shared" si="2"/>
        <v>0.15190132881090182</v>
      </c>
      <c r="AE50" s="119">
        <f t="shared" si="32"/>
        <v>-1.663992708915718E-2</v>
      </c>
      <c r="AF50" s="119">
        <f t="shared" si="3"/>
        <v>10435621.560000001</v>
      </c>
      <c r="AG50" s="145">
        <f t="shared" si="4"/>
        <v>0.1503123058119378</v>
      </c>
      <c r="AH50" s="119">
        <f t="shared" si="5"/>
        <v>0.1503123058119378</v>
      </c>
      <c r="AI50" s="120">
        <v>120.13130549495014</v>
      </c>
      <c r="AJ50" s="122">
        <f>+'Base_Budget Constraint'!T72/'Base_Budget Constraint'!$T$60</f>
        <v>1.1536203817549477</v>
      </c>
      <c r="AK50" s="119">
        <v>1187331.5705753986</v>
      </c>
      <c r="AL50" s="58">
        <v>71079.424020000006</v>
      </c>
      <c r="AM50" s="119">
        <v>103.40600000000001</v>
      </c>
      <c r="AN50" s="58">
        <f t="shared" si="6"/>
        <v>489.31719200000003</v>
      </c>
      <c r="AO50" s="58">
        <f t="shared" si="7"/>
        <v>71568.741212000008</v>
      </c>
      <c r="AP50" s="121">
        <f t="shared" si="33"/>
        <v>1258900.3117873985</v>
      </c>
      <c r="AQ50" s="125">
        <f t="shared" si="21"/>
        <v>1.8132912118761356E-2</v>
      </c>
      <c r="AR50" s="119">
        <v>218.06299999999999</v>
      </c>
      <c r="AS50" s="119">
        <f t="shared" si="8"/>
        <v>155.42112352168201</v>
      </c>
      <c r="AT50" s="124">
        <f t="shared" si="44"/>
        <v>1.5020001298894808E-2</v>
      </c>
      <c r="AU50" s="119">
        <f t="shared" si="10"/>
        <v>1031874.1159999999</v>
      </c>
      <c r="AV50" s="58">
        <v>196170.96849999999</v>
      </c>
      <c r="AW50" s="126">
        <f t="shared" si="34"/>
        <v>1228045.0844999999</v>
      </c>
      <c r="AX50" s="119">
        <v>3.0896986307953331</v>
      </c>
      <c r="AY50" s="58">
        <f t="shared" si="35"/>
        <v>397464.358581757</v>
      </c>
      <c r="AZ50" s="127">
        <f t="shared" si="22"/>
        <v>2.0016269607302992E-2</v>
      </c>
      <c r="BA50" s="58">
        <f t="shared" si="45"/>
        <v>308.9698630795333</v>
      </c>
      <c r="BB50" s="58"/>
      <c r="BC50" s="119">
        <f t="shared" si="12"/>
        <v>-155457.45457539859</v>
      </c>
      <c r="BD50" s="58"/>
      <c r="BE50" s="119">
        <v>592820.825736003</v>
      </c>
      <c r="BF50" s="119">
        <v>194636.15886600036</v>
      </c>
      <c r="BG50" s="122">
        <v>6476434.7144370005</v>
      </c>
      <c r="BH50" s="119">
        <f t="shared" si="46"/>
        <v>9.3285084148596167E-2</v>
      </c>
      <c r="BI50" s="119">
        <f t="shared" si="36"/>
        <v>1.3453397111602414E-2</v>
      </c>
      <c r="BJ50" s="119">
        <v>2461.7888698809602</v>
      </c>
      <c r="BK50" s="124"/>
      <c r="BL50" s="119">
        <v>4326096</v>
      </c>
      <c r="BM50" s="119">
        <f t="shared" si="52"/>
        <v>1.0542162287220205</v>
      </c>
      <c r="BN50" s="119">
        <f t="shared" si="47"/>
        <v>1.075</v>
      </c>
      <c r="BO50" s="119">
        <v>1.03839100296651</v>
      </c>
      <c r="BP50" s="119">
        <f t="shared" si="48"/>
        <v>1.1696573622548306E-2</v>
      </c>
      <c r="BQ50" s="119">
        <f t="shared" si="49"/>
        <v>4.1721193653557517E-2</v>
      </c>
      <c r="BR50" s="119">
        <f t="shared" si="53"/>
        <v>4.1984996369174299E-2</v>
      </c>
      <c r="BS50" s="119">
        <f t="shared" si="50"/>
        <v>-1505.8231085394323</v>
      </c>
      <c r="BT50" s="124">
        <f t="shared" si="51"/>
        <v>-7.5802401934481995E-3</v>
      </c>
      <c r="BW50" s="59">
        <v>2924000</v>
      </c>
      <c r="BZ50" s="124">
        <f t="shared" si="42"/>
        <v>4.2116627137838265E-2</v>
      </c>
      <c r="CB50" s="145">
        <v>-1.663992708915718E-2</v>
      </c>
      <c r="CC50" s="145">
        <v>1.3453397111602414E-2</v>
      </c>
      <c r="CD50" s="145">
        <v>8.3691135450840674E-3</v>
      </c>
      <c r="CE50" s="124">
        <v>-8.6787688195699847E-3</v>
      </c>
      <c r="CF50" s="146">
        <v>-1.8132912118761356E-2</v>
      </c>
      <c r="CG50" s="124">
        <f t="shared" si="54"/>
        <v>1.697426320696583E-2</v>
      </c>
      <c r="CH50" s="146">
        <v>5.966101694915249E-2</v>
      </c>
      <c r="CI50" s="124">
        <v>1.5020001298894808E-2</v>
      </c>
      <c r="CJ50" s="117">
        <v>1.0542162287220205</v>
      </c>
      <c r="CK50" s="145">
        <f t="shared" si="37"/>
        <v>5.4216228722020476E-2</v>
      </c>
      <c r="CL50" s="120">
        <v>184.24075319596906</v>
      </c>
      <c r="CM50" s="207"/>
      <c r="CN50" s="207">
        <v>2461.7888698809602</v>
      </c>
      <c r="CO50" s="124"/>
      <c r="CP50" s="124"/>
      <c r="CQ50" s="124"/>
      <c r="CR50" s="124"/>
      <c r="CS50" s="124"/>
      <c r="CT50" s="124"/>
      <c r="CU50" s="124"/>
      <c r="CV50" s="124"/>
      <c r="CW50" s="124"/>
      <c r="CX50" s="124"/>
      <c r="CY50" s="124"/>
      <c r="CZ50" s="124"/>
      <c r="DA50" s="124"/>
      <c r="DB50" s="124"/>
      <c r="DG50" s="117"/>
      <c r="DH50" s="124"/>
      <c r="DI50" s="124"/>
      <c r="DN50" s="117"/>
      <c r="DO50" s="117"/>
      <c r="DU50" s="117"/>
      <c r="DV50" s="117"/>
      <c r="EB50" s="117"/>
      <c r="EC50" s="117"/>
    </row>
    <row r="51" spans="1:138" s="119" customFormat="1">
      <c r="A51" s="117">
        <v>2008</v>
      </c>
      <c r="B51" s="145">
        <v>0.23068783068783083</v>
      </c>
      <c r="D51" s="145"/>
      <c r="E51" s="145">
        <f>AVERAGE(B40:B55)</f>
        <v>0.18535232591766726</v>
      </c>
      <c r="F51" s="145"/>
      <c r="G51" s="145"/>
      <c r="H51" s="120">
        <v>1780.711035380062</v>
      </c>
      <c r="I51" s="120">
        <f t="shared" si="27"/>
        <v>276.18222795416199</v>
      </c>
      <c r="J51" s="280">
        <f t="shared" si="28"/>
        <v>4.4726840891131436E-2</v>
      </c>
      <c r="K51" s="223"/>
      <c r="L51" s="223"/>
      <c r="M51" s="223"/>
      <c r="N51" s="223">
        <f t="shared" si="55"/>
        <v>3.0552796058927644E-2</v>
      </c>
      <c r="O51" s="120">
        <v>538.37233319831932</v>
      </c>
      <c r="P51" s="203">
        <f t="shared" si="29"/>
        <v>1.0234006095947481</v>
      </c>
      <c r="Q51" s="160">
        <f t="shared" si="30"/>
        <v>4.4726840891131436E-2</v>
      </c>
      <c r="R51" s="160">
        <v>-5.6392423476066988E-2</v>
      </c>
      <c r="S51" s="145">
        <f>AVERAGE(Q47:Q57)</f>
        <v>3.0544325292900097E-2</v>
      </c>
      <c r="T51" s="117">
        <v>90.190562962488229</v>
      </c>
      <c r="U51" s="117">
        <v>2234.1979999999999</v>
      </c>
      <c r="V51" s="117"/>
      <c r="W51" s="119">
        <v>4892</v>
      </c>
      <c r="X51" s="124">
        <f t="shared" si="40"/>
        <v>3.3812341504649179E-2</v>
      </c>
      <c r="Y51" s="119">
        <v>80734753.24228245</v>
      </c>
      <c r="Z51" s="117">
        <v>21119799.320640549</v>
      </c>
      <c r="AA51" s="119">
        <v>1.4043286573146292</v>
      </c>
      <c r="AB51" s="119">
        <f t="shared" si="0"/>
        <v>1590.9367001541184</v>
      </c>
      <c r="AC51" s="119">
        <f t="shared" si="43"/>
        <v>3053007.5275957533</v>
      </c>
      <c r="AD51" s="119">
        <f t="shared" si="2"/>
        <v>0.1445566542202901</v>
      </c>
      <c r="AE51" s="119">
        <f t="shared" si="32"/>
        <v>-7.3446745906117217E-3</v>
      </c>
      <c r="AF51" s="119">
        <f t="shared" si="3"/>
        <v>10929696.615999999</v>
      </c>
      <c r="AG51" s="145">
        <f t="shared" si="4"/>
        <v>0.13537784135167075</v>
      </c>
      <c r="AH51" s="119">
        <f t="shared" si="5"/>
        <v>0.13537784135167075</v>
      </c>
      <c r="AI51" s="120">
        <v>108.28967252681355</v>
      </c>
      <c r="AJ51" s="122">
        <f>+'Base_Budget Constraint'!T73/'Base_Budget Constraint'!$T$60</f>
        <v>1.1605652921867244</v>
      </c>
      <c r="AK51" s="119">
        <v>2347223.9497665968</v>
      </c>
      <c r="AL51" s="58">
        <v>95232.455992999996</v>
      </c>
      <c r="AM51" s="119">
        <v>92.009</v>
      </c>
      <c r="AN51" s="58">
        <f t="shared" si="6"/>
        <v>450.10802799999999</v>
      </c>
      <c r="AO51" s="58">
        <f t="shared" si="7"/>
        <v>95682.564020999998</v>
      </c>
      <c r="AP51" s="121">
        <f t="shared" si="33"/>
        <v>2442906.513787597</v>
      </c>
      <c r="AQ51" s="125">
        <f t="shared" si="21"/>
        <v>3.0258425469593144E-2</v>
      </c>
      <c r="AR51" s="119">
        <v>234.803</v>
      </c>
      <c r="AS51" s="119">
        <f t="shared" si="8"/>
        <v>167.19946486671614</v>
      </c>
      <c r="AT51" s="124">
        <f t="shared" si="44"/>
        <v>1.5192179064204146E-2</v>
      </c>
      <c r="AU51" s="119">
        <f t="shared" si="10"/>
        <v>1148656.2760000001</v>
      </c>
      <c r="AV51" s="58">
        <v>164755.91319999998</v>
      </c>
      <c r="AW51" s="126">
        <f t="shared" si="34"/>
        <v>1313412.1892000001</v>
      </c>
      <c r="AX51" s="119">
        <v>3.403450873052682</v>
      </c>
      <c r="AY51" s="58">
        <f t="shared" si="35"/>
        <v>385906.02250178851</v>
      </c>
      <c r="AZ51" s="127">
        <f t="shared" si="22"/>
        <v>1.8272239079688578E-2</v>
      </c>
      <c r="BA51" s="58">
        <f t="shared" si="45"/>
        <v>340.34508730526818</v>
      </c>
      <c r="BB51" s="58"/>
      <c r="BC51" s="119">
        <f t="shared" si="12"/>
        <v>-1198567.6737665969</v>
      </c>
      <c r="BD51" s="58"/>
      <c r="BE51" s="119">
        <v>1830511.3103979994</v>
      </c>
      <c r="BF51" s="119">
        <v>63849.559054999612</v>
      </c>
      <c r="BG51" s="122">
        <v>7616942.5720320009</v>
      </c>
      <c r="BH51" s="119">
        <f t="shared" si="46"/>
        <v>9.4345275933076747E-2</v>
      </c>
      <c r="BI51" s="119">
        <f t="shared" si="36"/>
        <v>1.0601917844805797E-3</v>
      </c>
      <c r="BJ51" s="119">
        <v>2864.1061557570993</v>
      </c>
      <c r="BK51" s="124"/>
      <c r="BL51" s="119">
        <v>4973923.3604340004</v>
      </c>
      <c r="BM51" s="119">
        <f t="shared" si="52"/>
        <v>1.0635912079324712</v>
      </c>
      <c r="BN51" s="119">
        <f t="shared" si="47"/>
        <v>1.0186046511627906</v>
      </c>
      <c r="BO51" s="119">
        <v>0.99644453733700289</v>
      </c>
      <c r="BP51" s="119">
        <f t="shared" si="48"/>
        <v>-2.1015875015778082E-3</v>
      </c>
      <c r="BQ51" s="119">
        <f t="shared" si="49"/>
        <v>3.9329996714704787E-2</v>
      </c>
      <c r="BR51" s="119">
        <f t="shared" si="53"/>
        <v>4.3599067327875468E-2</v>
      </c>
      <c r="BS51" s="119">
        <f t="shared" si="50"/>
        <v>-1521.5733438497109</v>
      </c>
      <c r="BT51" s="124">
        <f t="shared" si="51"/>
        <v>-7.0632938893803307E-3</v>
      </c>
      <c r="BW51" s="59">
        <v>3039000</v>
      </c>
      <c r="BZ51" s="124">
        <f t="shared" si="42"/>
        <v>3.7641782230758258E-2</v>
      </c>
      <c r="CB51" s="145">
        <v>-7.3446745906117217E-3</v>
      </c>
      <c r="CC51" s="145">
        <v>1.0601917844805797E-3</v>
      </c>
      <c r="CD51" s="145">
        <v>1.1696573622548306E-2</v>
      </c>
      <c r="CE51" s="124">
        <v>-7.5802401934481995E-3</v>
      </c>
      <c r="CF51" s="146">
        <v>-3.0258425469593144E-2</v>
      </c>
      <c r="CG51" s="124">
        <f t="shared" si="54"/>
        <v>2.8058577415254363E-2</v>
      </c>
      <c r="CH51" s="146">
        <v>7.4999999999999956E-2</v>
      </c>
      <c r="CI51" s="124">
        <v>1.5192179064204146E-2</v>
      </c>
      <c r="CJ51" s="117">
        <v>1.0635912079324712</v>
      </c>
      <c r="CK51" s="145">
        <f t="shared" si="37"/>
        <v>6.3591207932471194E-2</v>
      </c>
      <c r="CL51" s="120">
        <v>-318.76128999605953</v>
      </c>
      <c r="CM51" s="207"/>
      <c r="CN51" s="207">
        <v>2864.1061557570993</v>
      </c>
      <c r="CO51" s="124"/>
      <c r="CP51" s="124"/>
      <c r="CQ51" s="124"/>
      <c r="CR51" s="124"/>
      <c r="CS51" s="124"/>
      <c r="CT51" s="124"/>
      <c r="CU51" s="124"/>
      <c r="CV51" s="124"/>
      <c r="CW51" s="124"/>
      <c r="CX51" s="124"/>
      <c r="CY51" s="124"/>
      <c r="CZ51" s="124"/>
      <c r="DA51" s="124"/>
      <c r="DB51" s="124"/>
      <c r="DG51" s="117"/>
      <c r="DH51" s="124"/>
      <c r="DI51" s="124"/>
      <c r="DN51" s="117"/>
      <c r="DO51" s="117"/>
      <c r="DU51" s="117"/>
      <c r="DV51" s="117"/>
      <c r="EB51" s="117"/>
      <c r="EC51" s="117"/>
    </row>
    <row r="52" spans="1:138" s="119" customFormat="1">
      <c r="A52" s="117">
        <v>2009</v>
      </c>
      <c r="B52" s="145">
        <v>0.24118658641444535</v>
      </c>
      <c r="D52" s="145"/>
      <c r="E52" s="145">
        <f>AVERAGE(B40:B55)</f>
        <v>0.18535232591766726</v>
      </c>
      <c r="F52" s="145"/>
      <c r="G52" s="145"/>
      <c r="H52" s="120">
        <v>1680.2924245844038</v>
      </c>
      <c r="I52" s="120">
        <f t="shared" si="27"/>
        <v>260.60764279880726</v>
      </c>
      <c r="J52" s="280">
        <f t="shared" si="28"/>
        <v>-5.6392423476066988E-2</v>
      </c>
      <c r="K52" s="223"/>
      <c r="L52" s="223"/>
      <c r="M52" s="223"/>
      <c r="N52" s="223">
        <f t="shared" si="55"/>
        <v>3.0552796058927644E-2</v>
      </c>
      <c r="O52" s="120">
        <v>497.64205120802558</v>
      </c>
      <c r="P52" s="203">
        <f t="shared" si="29"/>
        <v>0.9243455142868755</v>
      </c>
      <c r="Q52" s="160">
        <f t="shared" si="30"/>
        <v>-5.6392423476066988E-2</v>
      </c>
      <c r="R52" s="160">
        <v>0.11156143069053126</v>
      </c>
      <c r="S52" s="145">
        <f>AVERAGE(Q47:Q57)</f>
        <v>3.0544325292900097E-2</v>
      </c>
      <c r="T52" s="117">
        <v>83.367242305384011</v>
      </c>
      <c r="U52" s="117">
        <v>2236.8530000000001</v>
      </c>
      <c r="V52" s="117"/>
      <c r="W52" s="119">
        <v>4654</v>
      </c>
      <c r="X52" s="124">
        <f t="shared" si="40"/>
        <v>-4.8650858544562525E-2</v>
      </c>
      <c r="Y52" s="119">
        <v>79117170.176796183</v>
      </c>
      <c r="Z52" s="117">
        <v>20282252.396957401</v>
      </c>
      <c r="AA52" s="119">
        <v>1.4425450901803605</v>
      </c>
      <c r="AB52" s="119">
        <f t="shared" si="0"/>
        <v>1550.629519469875</v>
      </c>
      <c r="AC52" s="119">
        <f t="shared" si="43"/>
        <v>2975658.0478626904</v>
      </c>
      <c r="AD52" s="119">
        <f t="shared" si="2"/>
        <v>0.14671240598056443</v>
      </c>
      <c r="AE52" s="119">
        <f t="shared" si="32"/>
        <v>2.155751760274327E-3</v>
      </c>
      <c r="AF52" s="119">
        <f t="shared" si="3"/>
        <v>10410313.862</v>
      </c>
      <c r="AG52" s="145">
        <f t="shared" si="4"/>
        <v>0.13158096831240282</v>
      </c>
      <c r="AH52" s="119">
        <f t="shared" si="5"/>
        <v>0.13158096831240282</v>
      </c>
      <c r="AI52" s="120">
        <v>106.31604122688836</v>
      </c>
      <c r="AJ52" s="122">
        <f>+'Base_Budget Constraint'!T74/'Base_Budget Constraint'!$T$60</f>
        <v>1.0351635367796415</v>
      </c>
      <c r="AK52" s="119">
        <v>-372113.91863440239</v>
      </c>
      <c r="AL52" s="58">
        <v>100029.24100000001</v>
      </c>
      <c r="AM52" s="119">
        <v>87.870999999999995</v>
      </c>
      <c r="AN52" s="58">
        <f t="shared" si="6"/>
        <v>408.95163399999996</v>
      </c>
      <c r="AO52" s="58">
        <f t="shared" si="7"/>
        <v>100438.19263400001</v>
      </c>
      <c r="AP52" s="121">
        <f t="shared" si="33"/>
        <v>-271675.72600040236</v>
      </c>
      <c r="AQ52" s="125">
        <f t="shared" si="21"/>
        <v>-3.4338402826252822E-3</v>
      </c>
      <c r="AR52" s="119">
        <v>251.09299999999999</v>
      </c>
      <c r="AS52" s="119">
        <f t="shared" si="8"/>
        <v>174.0624967006099</v>
      </c>
      <c r="AT52" s="124">
        <f t="shared" si="44"/>
        <v>1.6468877550235919E-2</v>
      </c>
      <c r="AU52" s="119">
        <f t="shared" si="10"/>
        <v>1168586.8219999999</v>
      </c>
      <c r="AV52" s="58">
        <v>315544.20899999997</v>
      </c>
      <c r="AW52" s="126">
        <f t="shared" si="34"/>
        <v>1484131.031</v>
      </c>
      <c r="AX52" s="119">
        <v>3.4916665068104682</v>
      </c>
      <c r="AY52" s="58">
        <f t="shared" si="35"/>
        <v>425049.4794119696</v>
      </c>
      <c r="AZ52" s="127">
        <f t="shared" si="22"/>
        <v>2.0956719751487388E-2</v>
      </c>
      <c r="BA52" s="58">
        <f t="shared" si="45"/>
        <v>349.1666506810468</v>
      </c>
      <c r="BB52" s="58"/>
      <c r="BC52" s="119">
        <f t="shared" si="12"/>
        <v>1540700.7406344023</v>
      </c>
      <c r="BD52" s="58"/>
      <c r="BE52" s="119">
        <v>44639.144186995924</v>
      </c>
      <c r="BF52" s="119">
        <v>-842497.797487</v>
      </c>
      <c r="BG52" s="122">
        <v>10160304.167924</v>
      </c>
      <c r="BH52" s="119">
        <f t="shared" si="46"/>
        <v>0.12842097543705952</v>
      </c>
      <c r="BI52" s="119">
        <f t="shared" si="36"/>
        <v>3.4075699503982773E-2</v>
      </c>
      <c r="BJ52" s="119">
        <v>3860.6602632712102</v>
      </c>
      <c r="BK52" s="124"/>
      <c r="BL52" s="119">
        <v>5537799</v>
      </c>
      <c r="BM52" s="119">
        <f t="shared" si="52"/>
        <v>0.96034304535911919</v>
      </c>
      <c r="BN52" s="119">
        <f t="shared" si="47"/>
        <v>1.0721461187214611</v>
      </c>
      <c r="BO52" s="119">
        <v>1.016400434423899</v>
      </c>
      <c r="BP52" s="119">
        <f t="shared" si="48"/>
        <v>2.2508710371731151E-2</v>
      </c>
      <c r="BQ52" s="119">
        <f t="shared" si="49"/>
        <v>2.6806410613482424E-2</v>
      </c>
      <c r="BR52" s="119">
        <f t="shared" si="53"/>
        <v>3.4215535197869212E-2</v>
      </c>
      <c r="BS52" s="119">
        <f t="shared" si="50"/>
        <v>-1497.5739005675985</v>
      </c>
      <c r="BT52" s="124">
        <f t="shared" si="51"/>
        <v>-6.0627284341857202E-3</v>
      </c>
      <c r="BW52" s="59">
        <v>3001000</v>
      </c>
      <c r="BZ52" s="124">
        <f t="shared" si="42"/>
        <v>3.7931083648390471E-2</v>
      </c>
      <c r="CB52" s="145">
        <v>2.155751760274327E-3</v>
      </c>
      <c r="CC52" s="145">
        <v>3.4075699503982773E-2</v>
      </c>
      <c r="CD52" s="145">
        <v>-2.1015875015778082E-3</v>
      </c>
      <c r="CE52" s="124">
        <v>-7.0632938893803307E-3</v>
      </c>
      <c r="CF52" s="146">
        <v>3.4338402826252822E-3</v>
      </c>
      <c r="CG52" s="124">
        <f t="shared" si="54"/>
        <v>2.1290439819198419E-2</v>
      </c>
      <c r="CH52" s="146">
        <v>1.8604651162790642E-2</v>
      </c>
      <c r="CI52" s="124">
        <v>1.6468877550235919E-2</v>
      </c>
      <c r="CJ52" s="117">
        <v>0.96034304535911919</v>
      </c>
      <c r="CK52" s="145">
        <f t="shared" si="37"/>
        <v>-3.9656954640880815E-2</v>
      </c>
      <c r="CL52" s="120">
        <v>67.727046142562131</v>
      </c>
      <c r="CM52" s="207"/>
      <c r="CN52" s="207">
        <v>3860.6602632712102</v>
      </c>
      <c r="CO52" s="124"/>
      <c r="CP52" s="124"/>
      <c r="CQ52" s="124"/>
      <c r="CR52" s="124"/>
      <c r="CS52" s="124"/>
      <c r="CT52" s="124"/>
      <c r="CU52" s="124"/>
      <c r="CV52" s="124"/>
      <c r="CW52" s="124"/>
      <c r="CX52" s="124"/>
      <c r="CY52" s="124"/>
      <c r="CZ52" s="124"/>
      <c r="DA52" s="124"/>
      <c r="DB52" s="124"/>
      <c r="DG52" s="117"/>
      <c r="DH52" s="124"/>
      <c r="DI52" s="124"/>
      <c r="DN52" s="117"/>
      <c r="DO52" s="117"/>
      <c r="DU52" s="117"/>
      <c r="DV52" s="117"/>
      <c r="EB52" s="117"/>
      <c r="EC52" s="117"/>
    </row>
    <row r="53" spans="1:138" s="119" customFormat="1">
      <c r="A53" s="117">
        <v>2010</v>
      </c>
      <c r="B53" s="145">
        <v>0.32040180117769324</v>
      </c>
      <c r="D53" s="145"/>
      <c r="E53" s="145">
        <f>AVERAGE(B40:B55)</f>
        <v>0.18535232591766726</v>
      </c>
      <c r="F53" s="145"/>
      <c r="G53" s="145"/>
      <c r="H53" s="120">
        <v>1867.7482514495016</v>
      </c>
      <c r="I53" s="120">
        <f t="shared" si="27"/>
        <v>289.68140427832913</v>
      </c>
      <c r="J53" s="280">
        <f t="shared" si="28"/>
        <v>0.11156143069053126</v>
      </c>
      <c r="K53" s="223"/>
      <c r="L53" s="223"/>
      <c r="M53" s="223"/>
      <c r="N53" s="223">
        <f t="shared" si="55"/>
        <v>3.0552796058927644E-2</v>
      </c>
      <c r="O53" s="120">
        <v>541.86794354455026</v>
      </c>
      <c r="P53" s="203">
        <f t="shared" si="29"/>
        <v>1.0888708906917459</v>
      </c>
      <c r="Q53" s="160">
        <f t="shared" si="30"/>
        <v>0.11156143069053126</v>
      </c>
      <c r="R53" s="160">
        <v>2.5827015403403042E-2</v>
      </c>
      <c r="S53" s="145">
        <f>AVERAGE(Q47:Q57)</f>
        <v>3.0544325292900097E-2</v>
      </c>
      <c r="T53" s="117">
        <v>90.776163383578094</v>
      </c>
      <c r="U53" s="117">
        <v>2335.4250000000002</v>
      </c>
      <c r="V53" s="117"/>
      <c r="W53" s="119">
        <v>4574</v>
      </c>
      <c r="X53" s="124">
        <f t="shared" si="40"/>
        <v>-1.7189514396218297E-2</v>
      </c>
      <c r="Y53" s="119">
        <v>94934255.213694632</v>
      </c>
      <c r="Z53" s="117">
        <v>22937808.012133818</v>
      </c>
      <c r="AA53" s="119">
        <v>1.464121576486306</v>
      </c>
      <c r="AB53" s="119">
        <f t="shared" si="0"/>
        <v>1595.103191911634</v>
      </c>
      <c r="AC53" s="119">
        <f t="shared" si="43"/>
        <v>3061003.0252784258</v>
      </c>
      <c r="AD53" s="119">
        <f t="shared" si="2"/>
        <v>0.13344793119112308</v>
      </c>
      <c r="AE53" s="119">
        <f t="shared" si="32"/>
        <v>-1.3264474789441344E-2</v>
      </c>
      <c r="AF53" s="119">
        <f t="shared" si="3"/>
        <v>10682233.950000001</v>
      </c>
      <c r="AG53" s="145">
        <f t="shared" si="4"/>
        <v>0.11252243909171204</v>
      </c>
      <c r="AH53" s="119">
        <f t="shared" si="5"/>
        <v>0.11252243909171204</v>
      </c>
      <c r="AI53" s="120">
        <v>94.152220789988306</v>
      </c>
      <c r="AJ53" s="122">
        <f>+'Base_Budget Constraint'!T75/'Base_Budget Constraint'!$T$60</f>
        <v>0.9965526403334628</v>
      </c>
      <c r="AK53" s="119">
        <v>735344.13448900823</v>
      </c>
      <c r="AL53" s="58">
        <v>112082.75840800002</v>
      </c>
      <c r="AM53" s="119">
        <v>59.962000000000003</v>
      </c>
      <c r="AN53" s="58">
        <f t="shared" si="6"/>
        <v>274.266188</v>
      </c>
      <c r="AO53" s="58">
        <f t="shared" si="7"/>
        <v>112357.02459600002</v>
      </c>
      <c r="AP53" s="121">
        <f t="shared" si="33"/>
        <v>847701.1590850082</v>
      </c>
      <c r="AQ53" s="125">
        <f t="shared" si="21"/>
        <v>8.929349655473191E-3</v>
      </c>
      <c r="AR53" s="119">
        <v>240.82499999999999</v>
      </c>
      <c r="AS53" s="119">
        <f t="shared" si="8"/>
        <v>164.48429137827983</v>
      </c>
      <c r="AT53" s="124">
        <f t="shared" si="44"/>
        <v>1.376092061577752E-2</v>
      </c>
      <c r="AU53" s="119">
        <f t="shared" si="10"/>
        <v>1101533.55</v>
      </c>
      <c r="AV53" s="58">
        <v>431831.29908000003</v>
      </c>
      <c r="AW53" s="126">
        <f t="shared" si="34"/>
        <v>1533364.8490800001</v>
      </c>
      <c r="AX53" s="119">
        <v>3.65406960015049</v>
      </c>
      <c r="AY53" s="58">
        <f t="shared" si="35"/>
        <v>419632.08610390167</v>
      </c>
      <c r="AZ53" s="127">
        <f t="shared" si="22"/>
        <v>1.8294341197812862E-2</v>
      </c>
      <c r="BA53" s="58">
        <f t="shared" si="45"/>
        <v>365.40696001504898</v>
      </c>
      <c r="BB53" s="58"/>
      <c r="BC53" s="119">
        <f t="shared" si="12"/>
        <v>366189.41551099188</v>
      </c>
      <c r="BD53" s="58"/>
      <c r="BE53" s="119">
        <v>1173783.3144870065</v>
      </c>
      <c r="BF53" s="119">
        <v>-878499.9566979995</v>
      </c>
      <c r="BG53" s="122">
        <v>10273551.947507001</v>
      </c>
      <c r="BH53" s="119">
        <f t="shared" si="46"/>
        <v>0.10821754407175253</v>
      </c>
      <c r="BI53" s="119">
        <f t="shared" si="36"/>
        <v>-2.0203431365306987E-2</v>
      </c>
      <c r="BJ53" s="119">
        <v>4168.2296803111603</v>
      </c>
      <c r="BK53" s="124"/>
      <c r="BL53" s="119">
        <v>6563534</v>
      </c>
      <c r="BM53" s="119">
        <f t="shared" si="52"/>
        <v>1.130930015227243</v>
      </c>
      <c r="BN53" s="119">
        <f t="shared" si="47"/>
        <v>1.049403747870528</v>
      </c>
      <c r="BO53" s="119">
        <v>1.0315684156862199</v>
      </c>
      <c r="BP53" s="119">
        <f t="shared" si="48"/>
        <v>9.3863116533591268E-3</v>
      </c>
      <c r="BQ53" s="119">
        <f t="shared" si="49"/>
        <v>2.5945598766819743E-2</v>
      </c>
      <c r="BR53" s="119">
        <f t="shared" si="53"/>
        <v>2.4904611849622699E-2</v>
      </c>
      <c r="BS53" s="119">
        <f t="shared" si="50"/>
        <v>-1555.3777660569806</v>
      </c>
      <c r="BT53" s="124">
        <f t="shared" si="51"/>
        <v>-5.8034232696897474E-3</v>
      </c>
      <c r="BW53" s="59">
        <v>3181000</v>
      </c>
      <c r="BZ53" s="124">
        <f t="shared" si="42"/>
        <v>3.3507399334830705E-2</v>
      </c>
      <c r="CB53" s="145">
        <v>-1.3264474789441344E-2</v>
      </c>
      <c r="CC53" s="145">
        <v>-2.0203431365306987E-2</v>
      </c>
      <c r="CD53" s="145">
        <v>2.2508710371731151E-2</v>
      </c>
      <c r="CE53" s="124">
        <v>-6.0627284341857202E-3</v>
      </c>
      <c r="CF53" s="146">
        <v>-8.929349655473191E-3</v>
      </c>
      <c r="CG53" s="124">
        <f t="shared" si="54"/>
        <v>-9.7280383091357895E-3</v>
      </c>
      <c r="CH53" s="146">
        <v>7.214611872146115E-2</v>
      </c>
      <c r="CI53" s="124">
        <v>1.376092061577752E-2</v>
      </c>
      <c r="CJ53" s="117">
        <v>1.130930015227243</v>
      </c>
      <c r="CK53" s="145">
        <f t="shared" si="37"/>
        <v>0.13093001522724301</v>
      </c>
      <c r="CL53" s="120">
        <v>-653.5673161026192</v>
      </c>
      <c r="CM53" s="207"/>
      <c r="CN53" s="207">
        <v>4168.2296803111603</v>
      </c>
      <c r="CO53" s="124"/>
      <c r="CP53" s="124"/>
      <c r="CQ53" s="124"/>
      <c r="CR53" s="124"/>
      <c r="CS53" s="124"/>
      <c r="CT53" s="124"/>
      <c r="CU53" s="124"/>
      <c r="CV53" s="124"/>
      <c r="CW53" s="124"/>
      <c r="CX53" s="124"/>
      <c r="CY53" s="124"/>
      <c r="CZ53" s="124"/>
      <c r="DA53" s="124"/>
      <c r="DB53" s="124"/>
      <c r="DG53" s="117"/>
      <c r="DH53" s="124"/>
      <c r="DI53" s="124"/>
      <c r="DN53" s="117"/>
      <c r="DO53" s="117"/>
      <c r="DU53" s="117"/>
      <c r="DV53" s="117"/>
      <c r="EB53" s="117"/>
      <c r="EC53" s="117"/>
    </row>
    <row r="54" spans="1:138" s="119" customFormat="1">
      <c r="A54" s="117">
        <v>2011</v>
      </c>
      <c r="B54" s="145">
        <v>0.16946484784889826</v>
      </c>
      <c r="D54" s="145"/>
      <c r="E54" s="145">
        <f>AVERAGE(B40:B55)</f>
        <v>0.18535232591766726</v>
      </c>
      <c r="F54" s="145"/>
      <c r="G54" s="145"/>
      <c r="H54" s="120">
        <v>1915.9866143093668</v>
      </c>
      <c r="I54" s="120">
        <f t="shared" si="27"/>
        <v>297.16301036870493</v>
      </c>
      <c r="J54" s="280">
        <f t="shared" si="28"/>
        <v>2.5827015403403042E-2</v>
      </c>
      <c r="K54" s="223"/>
      <c r="L54" s="223"/>
      <c r="M54" s="223"/>
      <c r="N54" s="223">
        <f t="shared" si="55"/>
        <v>3.0552796058927644E-2</v>
      </c>
      <c r="O54" s="120">
        <v>544.51583016300754</v>
      </c>
      <c r="P54" s="203">
        <f t="shared" si="29"/>
        <v>1.0048865902661386</v>
      </c>
      <c r="Q54" s="160">
        <f t="shared" si="30"/>
        <v>2.5827015403403042E-2</v>
      </c>
      <c r="R54" s="160">
        <v>-2.8795947236586295E-2</v>
      </c>
      <c r="S54" s="145">
        <f>AVERAGE(Q47:Q57)</f>
        <v>3.0544325292900097E-2</v>
      </c>
      <c r="T54" s="117">
        <v>91.219749299965684</v>
      </c>
      <c r="U54" s="117">
        <v>2284.723</v>
      </c>
      <c r="V54" s="117"/>
      <c r="W54" s="119">
        <v>4440</v>
      </c>
      <c r="X54" s="124">
        <f t="shared" si="40"/>
        <v>-2.9296020988194171E-2</v>
      </c>
      <c r="Y54" s="119">
        <v>105203213.929758</v>
      </c>
      <c r="Z54" s="117">
        <v>23933861.037312727</v>
      </c>
      <c r="AA54" s="119">
        <v>1.5074949899799599</v>
      </c>
      <c r="AB54" s="119">
        <f t="shared" si="0"/>
        <v>1515.5758494629374</v>
      </c>
      <c r="AC54" s="119">
        <f t="shared" si="43"/>
        <v>2908390.0551193771</v>
      </c>
      <c r="AD54" s="119">
        <f t="shared" si="2"/>
        <v>0.12151779650534515</v>
      </c>
      <c r="AE54" s="119">
        <f t="shared" si="32"/>
        <v>-1.1930134685777929E-2</v>
      </c>
      <c r="AF54" s="119">
        <f t="shared" si="3"/>
        <v>10144170.119999999</v>
      </c>
      <c r="AG54" s="145">
        <f t="shared" si="4"/>
        <v>9.6424526790341705E-2</v>
      </c>
      <c r="AH54" s="119">
        <f t="shared" si="5"/>
        <v>9.6424526790341705E-2</v>
      </c>
      <c r="AI54" s="120">
        <v>92.860660031768163</v>
      </c>
      <c r="AJ54" s="122">
        <f>+'Base_Budget Constraint'!T76/'Base_Budget Constraint'!$T$60</f>
        <v>0.98862324511462141</v>
      </c>
      <c r="AK54" s="119">
        <v>1360537.8390429956</v>
      </c>
      <c r="AL54" s="58">
        <v>71597.131849999991</v>
      </c>
      <c r="AM54" s="119">
        <v>60.594000000000001</v>
      </c>
      <c r="AN54" s="58">
        <f t="shared" si="6"/>
        <v>269.03735999999998</v>
      </c>
      <c r="AO54" s="58">
        <f t="shared" si="7"/>
        <v>71866.169209999993</v>
      </c>
      <c r="AP54" s="121">
        <f t="shared" si="33"/>
        <v>1432404.0082529956</v>
      </c>
      <c r="AQ54" s="125">
        <f t="shared" si="21"/>
        <v>1.3615591717657808E-2</v>
      </c>
      <c r="AR54" s="119">
        <v>232.41300000000001</v>
      </c>
      <c r="AS54" s="119">
        <f t="shared" si="8"/>
        <v>154.1716566521323</v>
      </c>
      <c r="AT54" s="124">
        <f t="shared" si="44"/>
        <v>1.2361374065563651E-2</v>
      </c>
      <c r="AU54" s="119">
        <f t="shared" si="10"/>
        <v>1031913.7200000001</v>
      </c>
      <c r="AV54" s="58">
        <v>509487.08074100007</v>
      </c>
      <c r="AW54" s="126">
        <f t="shared" si="34"/>
        <v>1541400.8007410001</v>
      </c>
      <c r="AX54" s="119">
        <v>3.9556753449248157</v>
      </c>
      <c r="AY54" s="58">
        <f t="shared" si="35"/>
        <v>389668.17707086046</v>
      </c>
      <c r="AZ54" s="127">
        <f t="shared" si="22"/>
        <v>1.6281041176907079E-2</v>
      </c>
      <c r="BA54" s="58">
        <f t="shared" si="45"/>
        <v>395.56753449248157</v>
      </c>
      <c r="BB54" s="58"/>
      <c r="BC54" s="119">
        <f t="shared" si="12"/>
        <v>-328624.1190429955</v>
      </c>
      <c r="BD54" s="58"/>
      <c r="BE54" s="119">
        <v>786819.64291699999</v>
      </c>
      <c r="BF54" s="119">
        <v>68016.107111000456</v>
      </c>
      <c r="BG54" s="122">
        <v>11598787.269677</v>
      </c>
      <c r="BH54" s="119">
        <f t="shared" si="46"/>
        <v>0.11025126359182591</v>
      </c>
      <c r="BI54" s="119">
        <f t="shared" si="36"/>
        <v>2.0337195200733765E-3</v>
      </c>
      <c r="BJ54" s="119">
        <v>4983.9365205540698</v>
      </c>
      <c r="BK54" s="124"/>
      <c r="BL54" s="119">
        <v>7324268</v>
      </c>
      <c r="BM54" s="119">
        <f t="shared" si="52"/>
        <v>1.0434240719362551</v>
      </c>
      <c r="BN54" s="119">
        <f t="shared" si="47"/>
        <v>1.0397727272727273</v>
      </c>
      <c r="BO54" s="119">
        <v>1.0206933726526126</v>
      </c>
      <c r="BP54" s="119">
        <f t="shared" si="48"/>
        <v>2.8870534066371177E-3</v>
      </c>
      <c r="BQ54" s="119">
        <f t="shared" si="49"/>
        <v>2.339627167057013E-2</v>
      </c>
      <c r="BR54" s="119">
        <f t="shared" si="53"/>
        <v>2.5738473294325326E-2</v>
      </c>
      <c r="BS54" s="119">
        <f t="shared" si="50"/>
        <v>-1476.5672409360111</v>
      </c>
      <c r="BT54" s="124">
        <f t="shared" si="51"/>
        <v>-5.1738374807448256E-3</v>
      </c>
      <c r="BZ54" s="124"/>
      <c r="CB54" s="145">
        <v>-1.1930134685777929E-2</v>
      </c>
      <c r="CC54" s="145">
        <v>2.0337195200733765E-3</v>
      </c>
      <c r="CD54" s="145">
        <v>9.3863116533591268E-3</v>
      </c>
      <c r="CE54" s="124">
        <v>-5.8034232696897474E-3</v>
      </c>
      <c r="CF54" s="146">
        <v>-1.3615591717657808E-2</v>
      </c>
      <c r="CG54" s="124">
        <f t="shared" si="54"/>
        <v>6.547537409438477E-3</v>
      </c>
      <c r="CH54" s="146">
        <v>4.9403747870528036E-2</v>
      </c>
      <c r="CI54" s="124">
        <v>1.2361374065563651E-2</v>
      </c>
      <c r="CJ54" s="117">
        <v>1.0434240719362551</v>
      </c>
      <c r="CK54" s="145">
        <f t="shared" si="37"/>
        <v>4.3424071936255082E-2</v>
      </c>
      <c r="CL54" s="120">
        <v>-270.17410605085558</v>
      </c>
      <c r="CM54" s="207"/>
      <c r="CN54" s="207">
        <v>4983.9365205540698</v>
      </c>
      <c r="CO54" s="124"/>
      <c r="CP54" s="124"/>
      <c r="CQ54" s="124"/>
      <c r="CR54" s="124"/>
      <c r="CS54" s="124"/>
      <c r="CT54" s="124"/>
      <c r="CU54" s="124"/>
      <c r="CV54" s="124"/>
      <c r="CW54" s="124"/>
      <c r="CX54" s="124"/>
      <c r="CY54" s="124"/>
      <c r="CZ54" s="124"/>
      <c r="DA54" s="124"/>
      <c r="DB54" s="124"/>
      <c r="DG54" s="117"/>
      <c r="DH54" s="124"/>
      <c r="DI54" s="124"/>
      <c r="DN54" s="117"/>
      <c r="DO54" s="117"/>
      <c r="DU54" s="117"/>
      <c r="DV54" s="117"/>
      <c r="EB54" s="117"/>
      <c r="EC54" s="117"/>
    </row>
    <row r="55" spans="1:138" s="119" customFormat="1">
      <c r="A55" s="117">
        <v>2012</v>
      </c>
      <c r="B55" s="145">
        <v>0.28532974427994606</v>
      </c>
      <c r="D55" s="145"/>
      <c r="E55" s="145">
        <f>AVERAGE(B40:B55)</f>
        <v>0.18535232591766726</v>
      </c>
      <c r="F55" s="145"/>
      <c r="G55" s="145"/>
      <c r="H55" s="120">
        <v>1860.8139648577087</v>
      </c>
      <c r="I55" s="120">
        <f t="shared" si="27"/>
        <v>288.60592000146255</v>
      </c>
      <c r="J55" s="280">
        <f t="shared" si="28"/>
        <v>-2.8795947236586295E-2</v>
      </c>
      <c r="K55" s="223"/>
      <c r="L55" s="223"/>
      <c r="M55" s="223"/>
      <c r="N55" s="223">
        <f t="shared" si="55"/>
        <v>3.0552796058927644E-2</v>
      </c>
      <c r="O55" s="120">
        <v>518.04073964316683</v>
      </c>
      <c r="P55" s="203">
        <f t="shared" si="29"/>
        <v>0.95137865778499942</v>
      </c>
      <c r="Q55" s="160">
        <f t="shared" si="30"/>
        <v>-2.8795947236586295E-2</v>
      </c>
      <c r="R55" s="160">
        <v>0.12174559161767151</v>
      </c>
      <c r="S55" s="145">
        <f>AVERAGE(Q47:Q57)</f>
        <v>3.0544325292900097E-2</v>
      </c>
      <c r="T55" s="117">
        <v>86.784522652485492</v>
      </c>
      <c r="U55" s="117">
        <v>2241.06</v>
      </c>
      <c r="V55" s="117"/>
      <c r="W55" s="119">
        <v>4289</v>
      </c>
      <c r="X55" s="124">
        <f t="shared" si="40"/>
        <v>-3.400900900900905E-2</v>
      </c>
      <c r="Y55" s="119">
        <v>108832260.32910401</v>
      </c>
      <c r="Z55" s="117">
        <v>23637328.194770999</v>
      </c>
      <c r="AA55" s="119">
        <v>1.5337408149632599</v>
      </c>
      <c r="AB55" s="119">
        <f t="shared" si="0"/>
        <v>1461.1725645794224</v>
      </c>
      <c r="AC55" s="119">
        <f t="shared" si="43"/>
        <v>2803990.1514279116</v>
      </c>
      <c r="AD55" s="119">
        <f t="shared" si="2"/>
        <v>0.11862551166202466</v>
      </c>
      <c r="AE55" s="119">
        <f t="shared" si="32"/>
        <v>-2.8922848433204917E-3</v>
      </c>
      <c r="AF55" s="119">
        <f t="shared" si="3"/>
        <v>9611906.3399999999</v>
      </c>
      <c r="AG55" s="145">
        <f t="shared" si="4"/>
        <v>8.8318540026036535E-2</v>
      </c>
      <c r="AH55" s="119">
        <f t="shared" si="5"/>
        <v>8.8318540026036535E-2</v>
      </c>
      <c r="AI55" s="120">
        <v>89.301987664116439</v>
      </c>
      <c r="AJ55" s="122">
        <f>+'Base_Budget Constraint'!T77/'Base_Budget Constraint'!$T$60</f>
        <v>0.91425449206585052</v>
      </c>
      <c r="AK55" s="119">
        <v>-1739656.8201899943</v>
      </c>
      <c r="AL55" s="58">
        <v>58270.292032000012</v>
      </c>
      <c r="AM55" s="119">
        <v>53.454000000000001</v>
      </c>
      <c r="AN55" s="58">
        <f t="shared" si="6"/>
        <v>229.264206</v>
      </c>
      <c r="AO55" s="58">
        <f t="shared" si="7"/>
        <v>58499.556238000012</v>
      </c>
      <c r="AP55" s="121">
        <f t="shared" si="33"/>
        <v>-1681157.2639519942</v>
      </c>
      <c r="AQ55" s="125">
        <f t="shared" si="21"/>
        <v>-1.5447232822953856E-2</v>
      </c>
      <c r="AR55" s="119">
        <v>238.51400000000001</v>
      </c>
      <c r="AS55" s="119">
        <f t="shared" si="8"/>
        <v>155.51128174528858</v>
      </c>
      <c r="AT55" s="124">
        <f t="shared" si="44"/>
        <v>1.2625206504313207E-2</v>
      </c>
      <c r="AU55" s="119">
        <f t="shared" si="10"/>
        <v>1022986.5460000001</v>
      </c>
      <c r="AV55" s="58">
        <v>4253368.8169140005</v>
      </c>
      <c r="AW55" s="126">
        <f t="shared" si="34"/>
        <v>5276355.3629140006</v>
      </c>
      <c r="AX55" s="119">
        <v>4.1010827657059981</v>
      </c>
      <c r="AY55" s="58">
        <f t="shared" si="35"/>
        <v>1286576.1713067209</v>
      </c>
      <c r="AZ55" s="127">
        <f t="shared" si="22"/>
        <v>5.4429847599752605E-2</v>
      </c>
      <c r="BA55" s="58">
        <f t="shared" si="45"/>
        <v>410.1082765705998</v>
      </c>
      <c r="BB55" s="58"/>
      <c r="BC55" s="119">
        <f t="shared" si="12"/>
        <v>2762643.3661899944</v>
      </c>
      <c r="BD55" s="58"/>
      <c r="BE55" s="119">
        <v>-1966226.5704989955</v>
      </c>
      <c r="BF55" s="119">
        <v>-358336.15993500315</v>
      </c>
      <c r="BG55" s="122">
        <v>13591719.116319001</v>
      </c>
      <c r="BH55" s="119">
        <f t="shared" si="46"/>
        <v>0.12488685868710468</v>
      </c>
      <c r="BI55" s="119">
        <f t="shared" si="36"/>
        <v>1.4635595095278772E-2</v>
      </c>
      <c r="BJ55" s="119">
        <v>4994.2501473768407</v>
      </c>
      <c r="BK55" s="124"/>
      <c r="BL55" s="119">
        <v>8606190</v>
      </c>
      <c r="BM55" s="119">
        <f t="shared" si="52"/>
        <v>0.98761032154070605</v>
      </c>
      <c r="BN55" s="119">
        <f t="shared" si="47"/>
        <v>1.0374707259953162</v>
      </c>
      <c r="BO55" s="119">
        <v>1.014648326556266</v>
      </c>
      <c r="BP55" s="119">
        <f t="shared" si="48"/>
        <v>1.9327228175991706E-2</v>
      </c>
      <c r="BQ55" s="119">
        <f t="shared" si="49"/>
        <v>2.8791732483735375E-2</v>
      </c>
      <c r="BR55" s="119">
        <f t="shared" si="53"/>
        <v>2.0220322731009897E-2</v>
      </c>
      <c r="BS55" s="119">
        <f t="shared" si="50"/>
        <v>-1431.6271837579291</v>
      </c>
      <c r="BT55" s="124">
        <f t="shared" si="51"/>
        <v>-4.7079364368652456E-3</v>
      </c>
      <c r="BZ55" s="124"/>
      <c r="CB55" s="145">
        <v>-2.8922848433204917E-3</v>
      </c>
      <c r="CC55" s="145">
        <v>1.4635595095278772E-2</v>
      </c>
      <c r="CD55" s="145">
        <v>2.8870534066371177E-3</v>
      </c>
      <c r="CE55" s="124">
        <v>-5.1738374807448256E-3</v>
      </c>
      <c r="CF55" s="146">
        <v>1.5447232822953856E-2</v>
      </c>
      <c r="CG55" s="124">
        <f t="shared" si="54"/>
        <v>-8.2682381879268414E-3</v>
      </c>
      <c r="CH55" s="146">
        <v>3.9772727272727293E-2</v>
      </c>
      <c r="CI55" s="124">
        <v>1.2625206504313207E-2</v>
      </c>
      <c r="CJ55" s="117">
        <v>0.98761032154070605</v>
      </c>
      <c r="CK55" s="145">
        <f t="shared" si="37"/>
        <v>-1.2389678459293951E-2</v>
      </c>
      <c r="CL55" s="124"/>
      <c r="CM55" s="207"/>
      <c r="CN55" s="207">
        <v>4994.2501473768407</v>
      </c>
      <c r="CO55" s="124"/>
      <c r="CP55" s="124"/>
      <c r="CQ55" s="124"/>
      <c r="CR55" s="124"/>
      <c r="CS55" s="124"/>
      <c r="CT55" s="124"/>
      <c r="CU55" s="124"/>
      <c r="CV55" s="124"/>
      <c r="CW55" s="124"/>
      <c r="CX55" s="124"/>
      <c r="CY55" s="124"/>
      <c r="CZ55" s="124"/>
      <c r="DA55" s="124"/>
      <c r="DB55" s="124"/>
      <c r="DG55" s="117"/>
      <c r="DH55" s="124"/>
      <c r="DI55" s="124"/>
      <c r="DN55" s="117"/>
      <c r="DO55" s="117"/>
      <c r="DP55" s="117"/>
      <c r="DQ55" s="117"/>
      <c r="DR55" s="117"/>
      <c r="DS55" s="117"/>
      <c r="DT55" s="117"/>
      <c r="DU55" s="117"/>
      <c r="DV55" s="117"/>
      <c r="DW55" s="117"/>
      <c r="DX55" s="117"/>
      <c r="DY55" s="117"/>
      <c r="DZ55" s="117"/>
      <c r="EA55" s="117"/>
      <c r="EB55" s="117"/>
      <c r="EC55" s="117"/>
    </row>
    <row r="56" spans="1:138" s="119" customFormat="1">
      <c r="A56" s="117">
        <v>2013</v>
      </c>
      <c r="B56" s="145">
        <v>0.44066317626527063</v>
      </c>
      <c r="D56" s="145"/>
      <c r="E56" s="145"/>
      <c r="F56" s="145">
        <f>AVERAGE(B56:B69)</f>
        <v>0.14166158707822804</v>
      </c>
      <c r="G56" s="145"/>
      <c r="H56" s="120">
        <v>2087.3598618997353</v>
      </c>
      <c r="I56" s="120">
        <f t="shared" si="27"/>
        <v>323.74241847640297</v>
      </c>
      <c r="J56" s="280">
        <f>+H56/H55-1</f>
        <v>0.12174559161767151</v>
      </c>
      <c r="K56" s="223"/>
      <c r="L56" s="223"/>
      <c r="M56" s="223"/>
      <c r="N56" s="223">
        <f t="shared" si="55"/>
        <v>3.0552796058927644E-2</v>
      </c>
      <c r="O56" s="120">
        <v>569.24759561181429</v>
      </c>
      <c r="P56" s="203">
        <f t="shared" si="29"/>
        <v>1.0988471601749303</v>
      </c>
      <c r="Q56" s="160">
        <f t="shared" si="30"/>
        <v>0.12174559161767151</v>
      </c>
      <c r="R56" s="160">
        <v>3.0459617632624614E-2</v>
      </c>
      <c r="S56" s="145">
        <f>AVERAGE(Q47:Q57)</f>
        <v>3.0544325292900097E-2</v>
      </c>
      <c r="T56" s="117">
        <v>95.362926263820597</v>
      </c>
      <c r="U56" s="117">
        <v>2676.9250000000002</v>
      </c>
      <c r="V56" s="117"/>
      <c r="W56" s="119">
        <v>4524</v>
      </c>
      <c r="X56" s="124">
        <f t="shared" si="40"/>
        <v>5.4791326649568761E-2</v>
      </c>
      <c r="Y56" s="119">
        <v>125152244.90377593</v>
      </c>
      <c r="Z56" s="117">
        <v>26955128.992666699</v>
      </c>
      <c r="AA56" s="119">
        <v>1.5567735470941884</v>
      </c>
      <c r="AB56" s="119">
        <f t="shared" si="0"/>
        <v>1719.5339713965734</v>
      </c>
      <c r="AC56" s="119">
        <f t="shared" si="43"/>
        <v>3299785.6911100242</v>
      </c>
      <c r="AD56" s="119">
        <f t="shared" si="2"/>
        <v>0.12241772955372428</v>
      </c>
      <c r="AE56" s="119">
        <f t="shared" si="32"/>
        <v>3.7922178916996174E-3</v>
      </c>
      <c r="AF56" s="119">
        <f t="shared" si="3"/>
        <v>12110408.700000001</v>
      </c>
      <c r="AG56" s="145">
        <f t="shared" si="4"/>
        <v>9.676541327174086E-2</v>
      </c>
      <c r="AH56" s="119">
        <f t="shared" si="5"/>
        <v>9.676541327174086E-2</v>
      </c>
      <c r="AI56" s="120">
        <v>82.824331441383009</v>
      </c>
      <c r="AJ56" s="122">
        <f>+'Base_Budget Constraint'!T78/'Base_Budget Constraint'!$T$60</f>
        <v>0.96845078731116896</v>
      </c>
      <c r="AK56" s="119">
        <v>-2396393.6821040073</v>
      </c>
      <c r="AL56" s="58">
        <v>185337.138898</v>
      </c>
      <c r="AM56" s="119">
        <v>64.524000000000001</v>
      </c>
      <c r="AN56" s="58">
        <f t="shared" si="6"/>
        <v>291.90657599999997</v>
      </c>
      <c r="AO56" s="58">
        <f t="shared" si="7"/>
        <v>185629.04547400001</v>
      </c>
      <c r="AP56" s="121">
        <f t="shared" si="33"/>
        <v>-2210764.6366300075</v>
      </c>
      <c r="AQ56" s="125">
        <f t="shared" si="21"/>
        <v>-1.7664602327587233E-2</v>
      </c>
      <c r="AR56" s="119">
        <v>210.298</v>
      </c>
      <c r="AS56" s="119">
        <f t="shared" si="8"/>
        <v>135.08579998197803</v>
      </c>
      <c r="AT56" s="124">
        <f t="shared" si="44"/>
        <v>9.6170806764063633E-3</v>
      </c>
      <c r="AU56" s="119">
        <f t="shared" si="10"/>
        <v>951388.152</v>
      </c>
      <c r="AV56" s="58">
        <v>173358.118464</v>
      </c>
      <c r="AW56" s="126">
        <f t="shared" si="34"/>
        <v>1124746.2704640001</v>
      </c>
      <c r="AX56" s="119">
        <v>4.211149978468006</v>
      </c>
      <c r="AY56" s="58">
        <f t="shared" si="35"/>
        <v>267087.67823870684</v>
      </c>
      <c r="AZ56" s="127">
        <f t="shared" si="22"/>
        <v>9.9086032313690509E-3</v>
      </c>
      <c r="BA56" s="58">
        <f t="shared" si="45"/>
        <v>421.11499784680058</v>
      </c>
      <c r="BB56" s="58"/>
      <c r="BC56" s="119">
        <f t="shared" si="12"/>
        <v>3347781.8341040076</v>
      </c>
      <c r="BD56" s="58"/>
      <c r="BE56" s="119">
        <v>-2460486.2758840062</v>
      </c>
      <c r="BF56" s="119">
        <v>22633.015028999187</v>
      </c>
      <c r="BG56" s="122">
        <v>13164096.192934999</v>
      </c>
      <c r="BH56" s="119">
        <f t="shared" si="46"/>
        <v>0.10518465891727548</v>
      </c>
      <c r="BI56" s="119">
        <f t="shared" si="36"/>
        <v>-1.9702199769829204E-2</v>
      </c>
      <c r="BJ56" s="119">
        <v>5871.225365199999</v>
      </c>
      <c r="BK56" s="124"/>
      <c r="BL56" s="119">
        <v>9743950</v>
      </c>
      <c r="BM56" s="119">
        <f t="shared" si="52"/>
        <v>1.140362767338047</v>
      </c>
      <c r="BN56" s="119">
        <f t="shared" si="47"/>
        <v>1.0421369450714824</v>
      </c>
      <c r="BP56" s="119">
        <f t="shared" si="48"/>
        <v>8.8043534085367088E-3</v>
      </c>
      <c r="BQ56" s="119">
        <f t="shared" si="49"/>
        <v>2.4103775787517392E-2</v>
      </c>
      <c r="BR56" s="119" t="e">
        <f t="shared" si="53"/>
        <v>#DIV/0!</v>
      </c>
      <c r="BS56" s="119" t="e">
        <f t="shared" si="50"/>
        <v>#DIV/0!</v>
      </c>
      <c r="BT56" s="128" t="e">
        <f t="shared" si="51"/>
        <v>#DIV/0!</v>
      </c>
      <c r="BZ56" s="124"/>
      <c r="CB56" s="145">
        <v>3.7922178916996174E-3</v>
      </c>
      <c r="CC56" s="145">
        <v>-1.9702199769829204E-2</v>
      </c>
      <c r="CD56" s="145">
        <v>1.9327228175991706E-2</v>
      </c>
      <c r="CE56" s="124">
        <v>-4.7079364368652456E-3</v>
      </c>
      <c r="CF56" s="146">
        <v>1.7664602327587233E-2</v>
      </c>
      <c r="CG56" s="124">
        <f t="shared" si="54"/>
        <v>-1.9156500269266234E-2</v>
      </c>
      <c r="CH56" s="146">
        <v>3.7470725995316201E-2</v>
      </c>
      <c r="CI56" s="124">
        <v>9.6170806764063633E-3</v>
      </c>
      <c r="CJ56" s="117">
        <v>1.140362767338047</v>
      </c>
      <c r="CK56" s="145">
        <f t="shared" si="37"/>
        <v>0.14036276733804698</v>
      </c>
      <c r="CL56" s="120"/>
      <c r="CM56" s="124"/>
      <c r="CN56" s="207">
        <v>5871.225365199999</v>
      </c>
      <c r="CO56" s="124"/>
      <c r="CP56" s="124"/>
      <c r="CQ56" s="124"/>
      <c r="CR56" s="124"/>
      <c r="CS56" s="124"/>
      <c r="CT56" s="124"/>
      <c r="CU56" s="124"/>
      <c r="CV56" s="124"/>
      <c r="CW56" s="124"/>
      <c r="CX56" s="124"/>
      <c r="CY56" s="124"/>
      <c r="CZ56" s="124"/>
      <c r="DA56" s="124"/>
      <c r="DB56" s="124"/>
      <c r="DG56" s="117"/>
      <c r="DH56" s="124"/>
      <c r="DI56" s="124"/>
      <c r="DN56" s="117"/>
      <c r="DO56" s="117"/>
      <c r="DP56" s="117"/>
      <c r="DQ56" s="117"/>
      <c r="DR56" s="117"/>
      <c r="DS56" s="117"/>
      <c r="DT56" s="117"/>
      <c r="DU56" s="117"/>
      <c r="DV56" s="117"/>
      <c r="DW56" s="117"/>
      <c r="DX56" s="117"/>
      <c r="DY56" s="117"/>
      <c r="DZ56" s="117"/>
      <c r="EA56" s="117"/>
      <c r="EB56" s="117"/>
      <c r="EC56" s="117"/>
    </row>
    <row r="57" spans="1:138" s="193" customFormat="1" ht="15" thickBot="1">
      <c r="A57" s="193">
        <v>2014</v>
      </c>
      <c r="B57" s="194">
        <v>0.11811023622047245</v>
      </c>
      <c r="C57" s="195"/>
      <c r="D57" s="194"/>
      <c r="E57" s="194"/>
      <c r="F57" s="194">
        <f>AVERAGE(B56:B69)</f>
        <v>0.14166158707822804</v>
      </c>
      <c r="G57" s="194"/>
      <c r="H57" s="206">
        <v>2150.9400451548895</v>
      </c>
      <c r="I57" s="206">
        <f t="shared" si="27"/>
        <v>333.60348875465536</v>
      </c>
      <c r="J57" s="282">
        <f t="shared" si="28"/>
        <v>3.0459617632624614E-2</v>
      </c>
      <c r="K57" s="224"/>
      <c r="L57" s="224"/>
      <c r="M57" s="224"/>
      <c r="N57" s="223">
        <f t="shared" si="55"/>
        <v>3.0552796058927644E-2</v>
      </c>
      <c r="O57" s="206">
        <v>574.61254141590177</v>
      </c>
      <c r="P57" s="204">
        <f t="shared" si="29"/>
        <v>1.0094246262003468</v>
      </c>
      <c r="Q57" s="213">
        <f t="shared" si="30"/>
        <v>3.0459617632624614E-2</v>
      </c>
      <c r="R57" s="213">
        <v>1.401487085762354E-2</v>
      </c>
      <c r="S57" s="194">
        <f>AVERAGE(Q47:Q57)</f>
        <v>3.0544325292900097E-2</v>
      </c>
      <c r="T57" s="193">
        <v>96.261686197228329</v>
      </c>
      <c r="U57" s="195">
        <v>3679.598</v>
      </c>
      <c r="V57" s="195"/>
      <c r="W57" s="195">
        <v>4630</v>
      </c>
      <c r="X57" s="196">
        <f t="shared" si="40"/>
        <v>2.3430592396109562E-2</v>
      </c>
      <c r="Y57" s="195">
        <v>137797686.414745</v>
      </c>
      <c r="Z57" s="193">
        <v>28228040.14509809</v>
      </c>
      <c r="AA57" s="195">
        <v>1.5685504342017369</v>
      </c>
      <c r="AB57" s="195">
        <f t="shared" si="0"/>
        <v>2345.8589024411017</v>
      </c>
      <c r="AC57" s="195">
        <f t="shared" si="43"/>
        <v>4501703.2337844744</v>
      </c>
      <c r="AD57" s="195">
        <f t="shared" si="2"/>
        <v>0.15947629416157724</v>
      </c>
      <c r="AE57" s="195">
        <f t="shared" si="32"/>
        <v>3.7058564607852965E-2</v>
      </c>
      <c r="AF57" s="195">
        <f t="shared" si="3"/>
        <v>17036538.739999998</v>
      </c>
      <c r="AG57" s="194">
        <f t="shared" si="4"/>
        <v>0.12363443235703708</v>
      </c>
      <c r="AH57" s="195">
        <f t="shared" si="5"/>
        <v>0.12363443235703708</v>
      </c>
      <c r="AI57" s="206">
        <v>88.642514884263406</v>
      </c>
      <c r="AJ57" s="205">
        <f>+'Base_Budget Constraint'!T79/'Base_Budget Constraint'!$T$60</f>
        <v>0.95586601443659636</v>
      </c>
      <c r="AK57" s="195">
        <v>-2034214.3681629961</v>
      </c>
      <c r="AL57" s="214">
        <v>243250.16174100002</v>
      </c>
      <c r="AM57" s="195">
        <v>64.524000000000001</v>
      </c>
      <c r="AN57" s="214">
        <f t="shared" si="6"/>
        <v>298.74612000000002</v>
      </c>
      <c r="AO57" s="214">
        <f t="shared" si="7"/>
        <v>243548.90786100001</v>
      </c>
      <c r="AP57" s="215">
        <f t="shared" si="33"/>
        <v>-1790665.4603019962</v>
      </c>
      <c r="AQ57" s="216">
        <f t="shared" si="21"/>
        <v>-1.2994887700163785E-2</v>
      </c>
      <c r="AR57" s="215"/>
      <c r="AS57" s="195">
        <f t="shared" si="8"/>
        <v>0</v>
      </c>
      <c r="AT57" s="196">
        <f t="shared" si="44"/>
        <v>0</v>
      </c>
      <c r="AU57" s="195"/>
      <c r="AV57" s="214">
        <v>456206.00692200003</v>
      </c>
      <c r="AW57" s="217">
        <f t="shared" si="34"/>
        <v>456206.00692200003</v>
      </c>
      <c r="AX57" s="195">
        <v>4.4229214540027524</v>
      </c>
      <c r="AY57" s="214">
        <f t="shared" si="35"/>
        <v>103145.85318017183</v>
      </c>
      <c r="AZ57" s="218">
        <f t="shared" si="22"/>
        <v>3.6540210602642037E-3</v>
      </c>
      <c r="BA57" s="214">
        <f t="shared" si="45"/>
        <v>442.29214540027522</v>
      </c>
      <c r="BB57" s="214"/>
      <c r="BC57" s="195">
        <f t="shared" si="12"/>
        <v>2034214.3681629961</v>
      </c>
      <c r="BD57" s="215"/>
      <c r="BE57" s="195">
        <v>-3133804.3317020014</v>
      </c>
      <c r="BF57" s="195">
        <v>20298.378188000992</v>
      </c>
      <c r="BG57" s="205">
        <v>14589640</v>
      </c>
      <c r="BH57" s="195">
        <f t="shared" si="46"/>
        <v>0.105877249318163</v>
      </c>
      <c r="BI57" s="195">
        <f t="shared" si="36"/>
        <v>6.9259040088752444E-4</v>
      </c>
      <c r="BJ57" s="195">
        <v>6890.9978952936199</v>
      </c>
      <c r="BK57" s="196"/>
      <c r="BL57" s="195">
        <v>10615180</v>
      </c>
      <c r="BM57" s="195">
        <f t="shared" si="52"/>
        <v>1.0472233374500894</v>
      </c>
      <c r="BU57" s="195"/>
      <c r="BV57" s="195"/>
      <c r="BW57" s="195"/>
      <c r="BX57" s="195"/>
      <c r="BY57" s="195"/>
      <c r="BZ57" s="124"/>
      <c r="CA57" s="195"/>
      <c r="CB57" s="194">
        <v>3.7058564607852965E-2</v>
      </c>
      <c r="CC57" s="194">
        <v>6.9259040088752444E-4</v>
      </c>
      <c r="CD57" s="194">
        <v>8.8043534085367088E-3</v>
      </c>
      <c r="CE57" s="212"/>
      <c r="CF57" s="197">
        <v>1.2994887700163785E-2</v>
      </c>
      <c r="CG57" s="196"/>
      <c r="CH57" s="197">
        <v>4.2136945071482357E-2</v>
      </c>
      <c r="CI57" s="195"/>
      <c r="CJ57" s="193">
        <v>1.0472233374500894</v>
      </c>
      <c r="CK57" s="194">
        <f t="shared" si="37"/>
        <v>4.7223337450089442E-2</v>
      </c>
      <c r="CL57" s="206"/>
      <c r="CM57" s="196"/>
      <c r="CN57" s="208">
        <v>6890.9978952936199</v>
      </c>
      <c r="CO57" s="196"/>
      <c r="CP57" s="196"/>
      <c r="CQ57" s="196"/>
      <c r="CR57" s="196"/>
      <c r="CS57" s="196"/>
      <c r="CT57" s="196"/>
      <c r="CU57" s="196"/>
      <c r="CV57" s="196"/>
      <c r="CW57" s="196"/>
      <c r="CX57" s="196"/>
      <c r="CY57" s="196"/>
      <c r="CZ57" s="196"/>
      <c r="DA57" s="196"/>
      <c r="DB57" s="196"/>
      <c r="DC57" s="195"/>
      <c r="DD57" s="211"/>
      <c r="DE57" s="211"/>
      <c r="DF57" s="211"/>
      <c r="DH57" s="195"/>
      <c r="DI57" s="195"/>
      <c r="DJ57" s="211"/>
      <c r="DK57" s="211"/>
      <c r="DL57" s="211"/>
      <c r="DM57" s="211"/>
      <c r="ED57" s="195"/>
      <c r="EE57" s="195"/>
      <c r="EF57" s="195"/>
      <c r="EG57" s="195"/>
      <c r="EH57" s="195"/>
    </row>
    <row r="58" spans="1:138">
      <c r="B58" s="145">
        <v>0.17811484290357549</v>
      </c>
      <c r="C58" s="119"/>
      <c r="F58" s="145">
        <f>AVERAGE(B56:B69)</f>
        <v>0.14166158707822804</v>
      </c>
      <c r="H58" s="120">
        <v>2181.0851921102262</v>
      </c>
      <c r="I58" s="120"/>
      <c r="J58" s="280"/>
      <c r="K58" s="280"/>
      <c r="L58" s="280"/>
      <c r="M58" s="280"/>
      <c r="N58" s="280"/>
      <c r="O58" s="120">
        <v>570.7715838415462</v>
      </c>
      <c r="P58" s="203">
        <f t="shared" si="29"/>
        <v>0.9933155695403183</v>
      </c>
      <c r="Q58" s="160"/>
      <c r="R58" s="160">
        <v>1.6644231717547919E-2</v>
      </c>
      <c r="T58" s="117">
        <v>95.618231649911252</v>
      </c>
      <c r="U58" s="119"/>
      <c r="V58" s="119"/>
      <c r="X58" s="124">
        <f t="shared" si="40"/>
        <v>-1</v>
      </c>
      <c r="AB58" s="119"/>
      <c r="AC58" s="119"/>
      <c r="AD58" s="119"/>
      <c r="AE58" s="119"/>
      <c r="AF58" s="119"/>
      <c r="AG58" s="145" t="e">
        <f t="shared" si="4"/>
        <v>#DIV/0!</v>
      </c>
      <c r="AH58" s="119"/>
      <c r="AI58" s="119"/>
      <c r="AJ58" s="119"/>
      <c r="AN58" s="58">
        <f t="shared" si="6"/>
        <v>0</v>
      </c>
      <c r="AO58" s="58"/>
      <c r="AP58" s="121">
        <f t="shared" si="33"/>
        <v>0</v>
      </c>
      <c r="AQ58" s="127" t="e">
        <f t="shared" si="21"/>
        <v>#DIV/0!</v>
      </c>
      <c r="AR58" s="121"/>
      <c r="AS58" s="119" t="e">
        <f t="shared" si="8"/>
        <v>#DIV/0!</v>
      </c>
      <c r="AT58" s="124" t="e">
        <f t="shared" si="44"/>
        <v>#DIV/0!</v>
      </c>
      <c r="AU58" s="119"/>
      <c r="AV58" s="119"/>
      <c r="AW58" s="126">
        <f t="shared" si="34"/>
        <v>0</v>
      </c>
      <c r="AX58" s="119"/>
      <c r="AY58" s="58" t="e">
        <f t="shared" si="35"/>
        <v>#DIV/0!</v>
      </c>
      <c r="AZ58" s="129"/>
      <c r="BA58" s="58"/>
      <c r="BB58" s="119"/>
      <c r="BC58" s="119">
        <f t="shared" si="12"/>
        <v>0</v>
      </c>
      <c r="BD58" s="121"/>
      <c r="CA58" s="119"/>
      <c r="CB58" s="119"/>
      <c r="CF58" s="127"/>
      <c r="CG58" s="127"/>
      <c r="CM58" s="119"/>
      <c r="CN58" s="119"/>
      <c r="CO58" s="119"/>
      <c r="CP58" s="119"/>
      <c r="CQ58" s="119"/>
      <c r="CR58" s="119"/>
      <c r="CS58" s="119"/>
      <c r="CT58" s="119"/>
      <c r="CU58" s="119"/>
      <c r="CV58" s="119"/>
      <c r="CW58" s="119"/>
      <c r="CX58" s="119"/>
      <c r="CY58" s="119"/>
      <c r="CZ58" s="119"/>
      <c r="DA58" s="119"/>
      <c r="DB58" s="119"/>
      <c r="ED58" s="119"/>
      <c r="EE58" s="119"/>
      <c r="EF58" s="119"/>
      <c r="EG58" s="119"/>
      <c r="EH58" s="119"/>
    </row>
    <row r="59" spans="1:138">
      <c r="B59" s="145">
        <v>0.20406474158543286</v>
      </c>
      <c r="C59" s="119"/>
      <c r="F59" s="145">
        <f>AVERAGE(B56:B69)</f>
        <v>0.14166158707822804</v>
      </c>
      <c r="H59" s="120">
        <v>2217.3876794434213</v>
      </c>
      <c r="I59" s="120"/>
      <c r="J59" s="280"/>
      <c r="K59" s="280"/>
      <c r="L59" s="280"/>
      <c r="M59" s="280"/>
      <c r="N59" s="280"/>
      <c r="O59" s="120">
        <v>568.42642991920445</v>
      </c>
      <c r="P59" s="203">
        <f t="shared" si="29"/>
        <v>0.99589125669754297</v>
      </c>
      <c r="Q59" s="160"/>
      <c r="R59" s="160"/>
      <c r="T59" s="117">
        <v>95.225360881026887</v>
      </c>
      <c r="X59" s="124" t="e">
        <f t="shared" si="40"/>
        <v>#DIV/0!</v>
      </c>
      <c r="AB59" s="119"/>
      <c r="AC59" s="119"/>
      <c r="AD59" s="119"/>
      <c r="AE59" s="119"/>
      <c r="AF59" s="119"/>
      <c r="AG59" s="145" t="e">
        <f t="shared" si="4"/>
        <v>#DIV/0!</v>
      </c>
      <c r="AH59" s="119"/>
      <c r="AJ59" s="119"/>
      <c r="AN59" s="58">
        <f t="shared" si="6"/>
        <v>0</v>
      </c>
      <c r="AO59" s="58"/>
      <c r="AP59" s="121">
        <f t="shared" si="33"/>
        <v>0</v>
      </c>
      <c r="AQ59" s="127" t="e">
        <f t="shared" si="21"/>
        <v>#DIV/0!</v>
      </c>
      <c r="AR59" s="121"/>
      <c r="AS59" s="119" t="e">
        <f t="shared" si="8"/>
        <v>#DIV/0!</v>
      </c>
      <c r="AT59" s="124" t="e">
        <f t="shared" si="44"/>
        <v>#DIV/0!</v>
      </c>
      <c r="AU59" s="119"/>
      <c r="AV59" s="119"/>
      <c r="AW59" s="126">
        <f t="shared" si="34"/>
        <v>0</v>
      </c>
      <c r="AX59" s="119"/>
      <c r="AY59" s="58" t="e">
        <f t="shared" si="35"/>
        <v>#DIV/0!</v>
      </c>
      <c r="AZ59" s="129"/>
      <c r="BA59" s="58"/>
      <c r="BB59" s="119"/>
      <c r="BC59" s="119">
        <f t="shared" si="12"/>
        <v>0</v>
      </c>
      <c r="BD59" s="121"/>
      <c r="CA59" s="119"/>
      <c r="CB59" s="119"/>
      <c r="CF59" s="127"/>
      <c r="CG59" s="127"/>
      <c r="ED59" s="119"/>
      <c r="EE59" s="119"/>
      <c r="EF59" s="119"/>
      <c r="EG59" s="119"/>
      <c r="EH59" s="119"/>
    </row>
    <row r="60" spans="1:138">
      <c r="B60" s="145">
        <v>0.18276941877339037</v>
      </c>
      <c r="C60" s="119"/>
      <c r="F60" s="145">
        <f>AVERAGE(B56:B69)</f>
        <v>0.14166158707822804</v>
      </c>
      <c r="I60" s="120"/>
      <c r="J60" s="280"/>
      <c r="K60" s="280"/>
      <c r="L60" s="280"/>
      <c r="M60" s="280"/>
      <c r="N60" s="280"/>
      <c r="AJ60" s="119"/>
      <c r="CA60" s="119"/>
      <c r="ED60" s="119"/>
      <c r="EE60" s="119"/>
      <c r="EF60" s="119"/>
      <c r="EG60" s="119"/>
      <c r="EH60" s="119"/>
    </row>
    <row r="61" spans="1:138">
      <c r="B61" s="145">
        <v>0.10533159947984405</v>
      </c>
      <c r="C61" s="119"/>
      <c r="F61" s="145">
        <f>AVERAGE(B56:B69)</f>
        <v>0.14166158707822804</v>
      </c>
      <c r="I61" s="120"/>
      <c r="J61" s="280"/>
      <c r="K61" s="280"/>
      <c r="L61" s="280"/>
      <c r="M61" s="280"/>
      <c r="N61" s="280"/>
      <c r="CA61" s="119"/>
      <c r="ED61" s="119"/>
      <c r="EE61" s="119"/>
      <c r="EF61" s="119"/>
      <c r="EG61" s="119"/>
      <c r="EH61" s="119"/>
    </row>
    <row r="62" spans="1:138">
      <c r="B62" s="145">
        <v>8.1764705882352962E-2</v>
      </c>
      <c r="C62" s="119"/>
      <c r="F62" s="145">
        <f>AVERAGE(B56:B69)</f>
        <v>0.14166158707822804</v>
      </c>
      <c r="I62" s="120"/>
      <c r="J62" s="280"/>
      <c r="K62" s="280"/>
      <c r="L62" s="280"/>
      <c r="M62" s="280"/>
      <c r="N62" s="280"/>
      <c r="CA62" s="119"/>
      <c r="ED62" s="119"/>
      <c r="EE62" s="119"/>
      <c r="EF62" s="119"/>
      <c r="EG62" s="119"/>
      <c r="EH62" s="119"/>
    </row>
    <row r="63" spans="1:138">
      <c r="B63" s="145">
        <v>6.1990212071778128E-2</v>
      </c>
      <c r="C63" s="119"/>
      <c r="F63" s="145">
        <f>AVERAGE(B56:B69)</f>
        <v>0.14166158707822804</v>
      </c>
      <c r="I63" s="120"/>
      <c r="J63" s="280"/>
      <c r="K63" s="280"/>
      <c r="L63" s="280"/>
      <c r="M63" s="280"/>
      <c r="N63" s="280"/>
      <c r="CA63" s="119"/>
      <c r="ED63" s="119"/>
      <c r="EE63" s="119"/>
      <c r="EF63" s="119"/>
      <c r="EG63" s="119"/>
      <c r="EH63" s="119"/>
    </row>
    <row r="64" spans="1:138">
      <c r="B64" s="145">
        <v>0.14644137224782372</v>
      </c>
      <c r="C64" s="119"/>
      <c r="F64" s="145">
        <f>AVERAGE(B56:B69)</f>
        <v>0.14166158707822804</v>
      </c>
      <c r="I64" s="120"/>
      <c r="J64" s="280"/>
      <c r="K64" s="280"/>
      <c r="L64" s="280"/>
      <c r="M64" s="280"/>
      <c r="N64" s="280"/>
      <c r="CA64" s="119"/>
      <c r="ED64" s="119"/>
      <c r="EE64" s="119"/>
      <c r="EF64" s="119"/>
      <c r="EG64" s="119"/>
      <c r="EH64" s="119"/>
    </row>
    <row r="65" spans="2:138">
      <c r="B65" s="145">
        <v>5.4041983028137563E-2</v>
      </c>
      <c r="C65" s="119"/>
      <c r="F65" s="145">
        <f>AVERAGE(B56:B69)</f>
        <v>0.14166158707822804</v>
      </c>
      <c r="I65" s="120"/>
      <c r="J65" s="280"/>
      <c r="K65" s="280"/>
      <c r="L65" s="280"/>
      <c r="M65" s="280"/>
      <c r="N65" s="280"/>
      <c r="CA65" s="119"/>
      <c r="DD65" s="117"/>
      <c r="DE65" s="117"/>
      <c r="DF65" s="117"/>
      <c r="DJ65" s="117"/>
      <c r="DK65" s="117"/>
      <c r="DL65" s="117"/>
      <c r="DM65" s="117"/>
      <c r="ED65" s="119"/>
      <c r="EE65" s="119"/>
      <c r="EF65" s="119"/>
      <c r="EG65" s="119"/>
      <c r="EH65" s="119"/>
    </row>
    <row r="66" spans="2:138">
      <c r="B66" s="145">
        <v>8.6440677966101553E-2</v>
      </c>
      <c r="C66" s="119"/>
      <c r="F66" s="145">
        <f>AVERAGE(B56:B69)</f>
        <v>0.14166158707822804</v>
      </c>
      <c r="I66" s="120"/>
      <c r="J66" s="280"/>
      <c r="K66" s="280"/>
      <c r="L66" s="280"/>
      <c r="M66" s="280"/>
      <c r="N66" s="280"/>
      <c r="CA66" s="119"/>
      <c r="DC66" s="117"/>
      <c r="DD66" s="117"/>
      <c r="DE66" s="117"/>
      <c r="DF66" s="117"/>
      <c r="DJ66" s="117"/>
      <c r="DK66" s="117"/>
      <c r="DL66" s="117"/>
      <c r="DM66" s="117"/>
      <c r="ED66" s="119"/>
      <c r="EE66" s="119"/>
      <c r="EF66" s="119"/>
      <c r="EG66" s="119"/>
      <c r="EH66" s="119"/>
    </row>
    <row r="67" spans="2:138">
      <c r="B67" s="145">
        <v>8.3853354134165503E-2</v>
      </c>
      <c r="C67" s="119"/>
      <c r="F67" s="145">
        <f>AVERAGE(B56:B69)</f>
        <v>0.14166158707822804</v>
      </c>
      <c r="I67" s="120"/>
      <c r="J67" s="280"/>
      <c r="K67" s="280"/>
      <c r="L67" s="280"/>
      <c r="M67" s="280"/>
      <c r="N67" s="280"/>
      <c r="CA67" s="119"/>
      <c r="DC67" s="117"/>
      <c r="DD67" s="117"/>
      <c r="DE67" s="117"/>
      <c r="DF67" s="117"/>
      <c r="DJ67" s="117"/>
      <c r="DK67" s="117"/>
      <c r="DL67" s="117"/>
      <c r="DM67" s="117"/>
      <c r="ED67" s="119"/>
      <c r="EE67" s="119"/>
      <c r="EF67" s="119"/>
      <c r="EG67" s="119"/>
      <c r="EH67" s="119"/>
    </row>
    <row r="68" spans="2:138">
      <c r="B68" s="145">
        <v>0.14645555955379663</v>
      </c>
      <c r="C68" s="119"/>
      <c r="F68" s="145">
        <f>AVERAGE(B56:B69)</f>
        <v>0.14166158707822804</v>
      </c>
      <c r="I68" s="120"/>
      <c r="J68" s="280"/>
      <c r="K68" s="280"/>
      <c r="L68" s="280"/>
      <c r="M68" s="280"/>
      <c r="N68" s="280"/>
      <c r="CA68" s="119"/>
      <c r="DC68" s="117"/>
      <c r="DD68" s="117"/>
      <c r="DE68" s="117"/>
      <c r="DF68" s="117"/>
      <c r="DJ68" s="117"/>
      <c r="DK68" s="117"/>
      <c r="DL68" s="117"/>
      <c r="DM68" s="117"/>
      <c r="ED68" s="119"/>
      <c r="EE68" s="119"/>
      <c r="EF68" s="119"/>
      <c r="EG68" s="119"/>
      <c r="EH68" s="119"/>
    </row>
    <row r="69" spans="2:138">
      <c r="B69" s="145">
        <v>9.3220338983050821E-2</v>
      </c>
      <c r="C69" s="119"/>
      <c r="F69" s="145">
        <f>AVERAGE(B56:B69)</f>
        <v>0.14166158707822804</v>
      </c>
      <c r="I69" s="120"/>
      <c r="J69" s="280"/>
      <c r="K69" s="280"/>
      <c r="L69" s="280"/>
      <c r="M69" s="280"/>
      <c r="N69" s="280"/>
      <c r="CA69" s="119"/>
      <c r="DC69" s="117"/>
      <c r="DD69" s="117"/>
      <c r="DE69" s="117"/>
      <c r="DF69" s="117"/>
      <c r="DJ69" s="117"/>
      <c r="DK69" s="117"/>
      <c r="DL69" s="117"/>
      <c r="DM69" s="117"/>
      <c r="ED69" s="119"/>
      <c r="EE69" s="119"/>
      <c r="EF69" s="119"/>
      <c r="EG69" s="119"/>
      <c r="EH69" s="119"/>
    </row>
    <row r="70" spans="2:138">
      <c r="B70" s="145">
        <v>2.8136663795578443E-2</v>
      </c>
      <c r="C70" s="119"/>
      <c r="G70" s="145">
        <f>AVERAGE(B70:B80)</f>
        <v>5.8701615272427649E-2</v>
      </c>
      <c r="I70" s="120"/>
      <c r="J70" s="280"/>
      <c r="K70" s="280"/>
      <c r="L70" s="280"/>
      <c r="M70" s="280"/>
      <c r="N70" s="280"/>
      <c r="CA70" s="119"/>
      <c r="DC70" s="117"/>
    </row>
    <row r="71" spans="2:138">
      <c r="B71" s="145">
        <v>9.8575816810946515E-2</v>
      </c>
      <c r="C71" s="119"/>
      <c r="G71" s="145">
        <f>AVERAGE(B70:B80)</f>
        <v>5.8701615272427649E-2</v>
      </c>
      <c r="I71" s="120"/>
      <c r="J71" s="280"/>
      <c r="K71" s="280"/>
      <c r="L71" s="280"/>
      <c r="M71" s="280"/>
      <c r="N71" s="280"/>
      <c r="CA71" s="119"/>
    </row>
    <row r="72" spans="2:138">
      <c r="B72" s="145">
        <v>0.12480935434672102</v>
      </c>
      <c r="C72" s="119"/>
      <c r="G72" s="145">
        <f>AVERAGE(B70:B80)</f>
        <v>5.8701615272427649E-2</v>
      </c>
      <c r="I72" s="120"/>
      <c r="J72" s="280"/>
      <c r="K72" s="280"/>
      <c r="L72" s="280"/>
      <c r="M72" s="280"/>
      <c r="N72" s="280"/>
      <c r="CA72" s="119"/>
    </row>
    <row r="73" spans="2:138">
      <c r="B73" s="145">
        <v>5.966101694915249E-2</v>
      </c>
      <c r="C73" s="119"/>
      <c r="G73" s="145">
        <f>AVERAGE(B70:B80)</f>
        <v>5.8701615272427649E-2</v>
      </c>
      <c r="I73" s="120"/>
      <c r="J73" s="280"/>
      <c r="K73" s="280"/>
      <c r="L73" s="280"/>
      <c r="M73" s="280"/>
      <c r="N73" s="280"/>
      <c r="CA73" s="119"/>
    </row>
    <row r="74" spans="2:138">
      <c r="B74" s="145">
        <v>7.4999999999999956E-2</v>
      </c>
      <c r="C74" s="119"/>
      <c r="G74" s="145">
        <f>AVERAGE(B70:B80)</f>
        <v>5.8701615272427649E-2</v>
      </c>
      <c r="I74" s="120"/>
      <c r="J74" s="280"/>
      <c r="K74" s="280"/>
      <c r="L74" s="280"/>
      <c r="M74" s="280"/>
      <c r="N74" s="280"/>
      <c r="CA74" s="119"/>
    </row>
    <row r="75" spans="2:138">
      <c r="B75" s="145">
        <v>1.8604651162790642E-2</v>
      </c>
      <c r="C75" s="119"/>
      <c r="G75" s="145">
        <f>AVERAGE(B70:B80)</f>
        <v>5.8701615272427649E-2</v>
      </c>
      <c r="I75" s="120"/>
      <c r="J75" s="280"/>
      <c r="K75" s="280"/>
      <c r="L75" s="280"/>
      <c r="M75" s="280"/>
      <c r="N75" s="280"/>
      <c r="CA75" s="119"/>
    </row>
    <row r="76" spans="2:138">
      <c r="B76" s="145">
        <v>7.214611872146115E-2</v>
      </c>
      <c r="C76" s="119"/>
      <c r="G76" s="145">
        <f>AVERAGE(B70:B80)</f>
        <v>5.8701615272427649E-2</v>
      </c>
      <c r="I76" s="120"/>
      <c r="J76" s="280"/>
      <c r="K76" s="280"/>
      <c r="L76" s="280"/>
      <c r="M76" s="280"/>
      <c r="N76" s="280"/>
      <c r="CA76" s="119"/>
    </row>
    <row r="77" spans="2:138" ht="6" customHeight="1">
      <c r="B77" s="145">
        <v>4.9403747870528036E-2</v>
      </c>
      <c r="C77" s="119"/>
      <c r="G77" s="145">
        <f>AVERAGE(B70:B80)</f>
        <v>5.8701615272427649E-2</v>
      </c>
      <c r="I77" s="120"/>
      <c r="J77" s="280"/>
      <c r="K77" s="280"/>
      <c r="L77" s="280"/>
      <c r="M77" s="280"/>
      <c r="N77" s="280"/>
      <c r="CA77" s="119"/>
      <c r="DD77" s="117"/>
      <c r="DE77" s="117"/>
      <c r="DF77" s="117"/>
      <c r="DJ77" s="117"/>
      <c r="DK77" s="117"/>
      <c r="DL77" s="117"/>
      <c r="DM77" s="117"/>
    </row>
    <row r="78" spans="2:138">
      <c r="B78" s="145">
        <v>3.9772727272727293E-2</v>
      </c>
      <c r="C78" s="119"/>
      <c r="G78" s="145">
        <f>AVERAGE(B70:B80)</f>
        <v>5.8701615272427649E-2</v>
      </c>
      <c r="I78" s="120"/>
      <c r="J78" s="280"/>
      <c r="K78" s="280"/>
      <c r="L78" s="280"/>
      <c r="M78" s="280"/>
      <c r="N78" s="280"/>
      <c r="CA78" s="119"/>
      <c r="DC78" s="117"/>
    </row>
    <row r="79" spans="2:138">
      <c r="B79" s="145">
        <v>3.7470725995316201E-2</v>
      </c>
      <c r="C79" s="119"/>
      <c r="G79" s="145">
        <f>AVERAGE(B70:B80)</f>
        <v>5.8701615272427649E-2</v>
      </c>
      <c r="I79" s="120"/>
      <c r="J79" s="280"/>
      <c r="K79" s="280"/>
      <c r="L79" s="280"/>
      <c r="M79" s="280"/>
      <c r="N79" s="280"/>
      <c r="CA79" s="119"/>
    </row>
    <row r="80" spans="2:138">
      <c r="B80" s="145">
        <v>4.2136945071482357E-2</v>
      </c>
      <c r="C80" s="119"/>
      <c r="G80" s="145">
        <f>AVERAGE(B70:B80)</f>
        <v>5.8701615272427649E-2</v>
      </c>
      <c r="I80" s="120"/>
      <c r="J80" s="280"/>
      <c r="K80" s="280"/>
      <c r="L80" s="280"/>
      <c r="M80" s="280"/>
      <c r="N80" s="280"/>
    </row>
    <row r="90" spans="107:117" ht="6" customHeight="1">
      <c r="DD90" s="117"/>
      <c r="DE90" s="117"/>
      <c r="DF90" s="117"/>
      <c r="DJ90" s="117"/>
      <c r="DK90" s="117"/>
      <c r="DL90" s="117"/>
      <c r="DM90" s="117"/>
    </row>
    <row r="91" spans="107:117">
      <c r="DC91" s="117"/>
    </row>
  </sheetData>
  <dataConsolidate/>
  <mergeCells count="9">
    <mergeCell ref="BY1:BY2"/>
    <mergeCell ref="BZ1:BZ2"/>
    <mergeCell ref="C2:G3"/>
    <mergeCell ref="B2:B3"/>
    <mergeCell ref="BR1:BR2"/>
    <mergeCell ref="BU1:BU2"/>
    <mergeCell ref="BV1:BV2"/>
    <mergeCell ref="BW1:BW2"/>
    <mergeCell ref="BX1:BX2"/>
  </mergeCells>
  <pageMargins left="0.7" right="0.7" top="0.75" bottom="0.75" header="0.3" footer="0.3"/>
  <drawing r:id="rId1"/>
  <legacy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80"/>
  <sheetViews>
    <sheetView workbookViewId="0">
      <pane xSplit="1" ySplit="3" topLeftCell="B43" activePane="bottomRight" state="frozen"/>
      <selection pane="topRight" activeCell="B1" sqref="B1"/>
      <selection pane="bottomLeft" activeCell="A4" sqref="A4"/>
      <selection pane="bottomRight" activeCell="D45" sqref="D45"/>
    </sheetView>
  </sheetViews>
  <sheetFormatPr defaultColWidth="11.44140625" defaultRowHeight="14.4"/>
  <sheetData>
    <row r="2" spans="1:37" ht="15.6">
      <c r="A2" s="237"/>
      <c r="B2" s="472" t="s">
        <v>421</v>
      </c>
      <c r="C2" s="472"/>
      <c r="D2" s="472"/>
      <c r="E2" s="472"/>
      <c r="F2" s="472"/>
      <c r="G2" s="472"/>
      <c r="H2" s="472"/>
      <c r="I2" s="472"/>
      <c r="J2" s="472"/>
      <c r="K2" s="472"/>
      <c r="L2" s="472"/>
      <c r="M2" s="472"/>
      <c r="N2" s="472"/>
      <c r="O2" s="472"/>
      <c r="P2" s="472"/>
      <c r="Q2" s="472"/>
      <c r="R2" s="472"/>
      <c r="S2" s="472"/>
      <c r="T2" s="473" t="s">
        <v>422</v>
      </c>
      <c r="U2" s="473"/>
      <c r="V2" s="473"/>
      <c r="W2" s="473"/>
      <c r="X2" s="473"/>
      <c r="Y2" s="473"/>
      <c r="Z2" s="473"/>
      <c r="AA2" s="473"/>
      <c r="AB2" s="473"/>
      <c r="AC2" s="473"/>
      <c r="AD2" s="473"/>
      <c r="AE2" s="473"/>
      <c r="AF2" s="473"/>
      <c r="AG2" s="473"/>
      <c r="AH2" s="473"/>
      <c r="AI2" s="473"/>
      <c r="AJ2" s="473"/>
      <c r="AK2" s="473"/>
    </row>
    <row r="3" spans="1:37" ht="15.6">
      <c r="A3" s="237"/>
      <c r="B3" s="239" t="s">
        <v>423</v>
      </c>
      <c r="C3" s="239" t="s">
        <v>424</v>
      </c>
      <c r="D3" s="239" t="s">
        <v>425</v>
      </c>
      <c r="E3" s="239" t="s">
        <v>426</v>
      </c>
      <c r="F3" s="239" t="s">
        <v>427</v>
      </c>
      <c r="G3" s="239" t="s">
        <v>428</v>
      </c>
      <c r="H3" s="239" t="s">
        <v>429</v>
      </c>
      <c r="I3" s="239" t="s">
        <v>430</v>
      </c>
      <c r="J3" s="239" t="s">
        <v>431</v>
      </c>
      <c r="K3" s="239" t="s">
        <v>432</v>
      </c>
      <c r="L3" s="239" t="s">
        <v>433</v>
      </c>
      <c r="M3" s="239" t="s">
        <v>434</v>
      </c>
      <c r="N3" s="239" t="s">
        <v>435</v>
      </c>
      <c r="O3" s="239" t="s">
        <v>436</v>
      </c>
      <c r="P3" s="239" t="s">
        <v>437</v>
      </c>
      <c r="Q3" s="239" t="s">
        <v>438</v>
      </c>
      <c r="R3" s="239" t="s">
        <v>439</v>
      </c>
      <c r="S3" s="239" t="s">
        <v>440</v>
      </c>
      <c r="T3" s="239" t="s">
        <v>423</v>
      </c>
      <c r="U3" s="239" t="s">
        <v>424</v>
      </c>
      <c r="V3" s="239" t="s">
        <v>425</v>
      </c>
      <c r="W3" s="239" t="s">
        <v>426</v>
      </c>
      <c r="X3" s="239" t="s">
        <v>427</v>
      </c>
      <c r="Y3" s="239" t="s">
        <v>428</v>
      </c>
      <c r="Z3" s="239" t="s">
        <v>429</v>
      </c>
      <c r="AA3" s="239" t="s">
        <v>430</v>
      </c>
      <c r="AB3" s="239" t="s">
        <v>431</v>
      </c>
      <c r="AC3" s="239" t="s">
        <v>432</v>
      </c>
      <c r="AD3" s="239" t="s">
        <v>433</v>
      </c>
      <c r="AE3" s="239" t="s">
        <v>434</v>
      </c>
      <c r="AF3" s="239" t="s">
        <v>435</v>
      </c>
      <c r="AG3" s="239" t="s">
        <v>436</v>
      </c>
      <c r="AH3" s="239" t="s">
        <v>437</v>
      </c>
      <c r="AI3" s="239" t="s">
        <v>438</v>
      </c>
      <c r="AJ3" s="239" t="s">
        <v>439</v>
      </c>
      <c r="AK3" s="239" t="s">
        <v>440</v>
      </c>
    </row>
    <row r="4" spans="1:37" ht="15.6">
      <c r="A4" s="237">
        <v>1950</v>
      </c>
      <c r="B4" s="240">
        <v>85524</v>
      </c>
      <c r="C4" s="240">
        <v>448</v>
      </c>
      <c r="D4" s="240">
        <v>5309</v>
      </c>
      <c r="E4" s="240">
        <v>89342</v>
      </c>
      <c r="F4" s="240">
        <v>22351.784442440417</v>
      </c>
      <c r="G4" s="240">
        <v>24955</v>
      </c>
      <c r="H4" s="240">
        <v>1702</v>
      </c>
      <c r="I4" s="240">
        <v>2416</v>
      </c>
      <c r="J4" s="240">
        <v>6278</v>
      </c>
      <c r="K4" s="240">
        <v>6190</v>
      </c>
      <c r="L4" s="240">
        <v>1837</v>
      </c>
      <c r="M4" s="240">
        <v>67368</v>
      </c>
      <c r="N4" s="240">
        <v>17613</v>
      </c>
      <c r="O4" s="240">
        <v>879.41995658715507</v>
      </c>
      <c r="P4" s="240">
        <v>61</v>
      </c>
      <c r="Q4" s="240">
        <v>2322</v>
      </c>
      <c r="R4" s="240">
        <v>10224</v>
      </c>
      <c r="S4" s="240">
        <v>37377</v>
      </c>
      <c r="T4" s="240"/>
      <c r="U4" s="240"/>
      <c r="V4" s="240"/>
      <c r="W4" s="240"/>
      <c r="X4" s="240"/>
      <c r="Y4" s="240"/>
      <c r="Z4" s="240"/>
      <c r="AA4" s="240"/>
      <c r="AB4" s="240"/>
      <c r="AC4" s="240"/>
      <c r="AD4" s="240"/>
      <c r="AE4" s="240"/>
      <c r="AF4" s="240"/>
      <c r="AG4" s="240"/>
      <c r="AH4" s="240"/>
      <c r="AI4" s="240"/>
      <c r="AJ4" s="240"/>
      <c r="AK4" s="240"/>
    </row>
    <row r="5" spans="1:37" ht="15.6">
      <c r="A5" s="237">
        <v>1951</v>
      </c>
      <c r="B5" s="240">
        <v>88866</v>
      </c>
      <c r="C5" s="240">
        <v>473.23327961716666</v>
      </c>
      <c r="D5" s="240">
        <v>5683</v>
      </c>
      <c r="E5" s="240">
        <v>93608</v>
      </c>
      <c r="F5" s="240">
        <v>23325.948517397002</v>
      </c>
      <c r="G5" s="240">
        <v>25726</v>
      </c>
      <c r="H5" s="240">
        <v>1747</v>
      </c>
      <c r="I5" s="240">
        <v>2701</v>
      </c>
      <c r="J5" s="240">
        <v>6346</v>
      </c>
      <c r="K5" s="240">
        <v>6277</v>
      </c>
      <c r="L5" s="240">
        <v>1985</v>
      </c>
      <c r="M5" s="240">
        <v>72578</v>
      </c>
      <c r="N5" s="240">
        <v>18984</v>
      </c>
      <c r="O5" s="240">
        <v>886.45814922305158</v>
      </c>
      <c r="P5" s="240">
        <v>63.630335512772845</v>
      </c>
      <c r="Q5" s="240">
        <v>2526</v>
      </c>
      <c r="R5" s="240">
        <v>11015</v>
      </c>
      <c r="S5" s="240">
        <v>39979</v>
      </c>
      <c r="T5" s="243">
        <v>3.9076750385856656</v>
      </c>
      <c r="U5" s="243">
        <v>5.6324284859746996</v>
      </c>
      <c r="V5" s="243">
        <v>7.0446411753625853</v>
      </c>
      <c r="W5" s="243">
        <v>4.7749098968010486</v>
      </c>
      <c r="X5" s="243">
        <v>4.3583279780870328</v>
      </c>
      <c r="Y5" s="243">
        <v>3.0895612101783172</v>
      </c>
      <c r="Z5" s="243">
        <v>2.6439482961222041</v>
      </c>
      <c r="AA5" s="243">
        <v>1.7307043437615732</v>
      </c>
      <c r="AB5" s="243">
        <v>1.7307043437615732</v>
      </c>
      <c r="AC5" s="243">
        <v>1.4054927302100282</v>
      </c>
      <c r="AD5" s="243">
        <v>8.0566140446379961</v>
      </c>
      <c r="AE5" s="243">
        <v>7.7336420852630425</v>
      </c>
      <c r="AF5" s="243">
        <v>7.7840231647078753</v>
      </c>
      <c r="AG5" s="243">
        <v>0.80032214224591769</v>
      </c>
      <c r="AH5" s="243">
        <v>4.3120254307751509</v>
      </c>
      <c r="AI5" s="243">
        <v>8.78552971576228</v>
      </c>
      <c r="AJ5" s="243">
        <v>7.73669796557121</v>
      </c>
      <c r="AK5" s="243">
        <v>6.9615003879390969</v>
      </c>
    </row>
    <row r="6" spans="1:37" ht="15.6">
      <c r="A6" s="237">
        <v>1952</v>
      </c>
      <c r="B6" s="240">
        <v>84333</v>
      </c>
      <c r="C6" s="240">
        <v>499.88780566343661</v>
      </c>
      <c r="D6" s="240">
        <v>5855</v>
      </c>
      <c r="E6" s="240">
        <v>99181</v>
      </c>
      <c r="F6" s="240">
        <v>24828.273892205558</v>
      </c>
      <c r="G6" s="240">
        <v>27350</v>
      </c>
      <c r="H6" s="240">
        <v>1958</v>
      </c>
      <c r="I6" s="240">
        <v>2921</v>
      </c>
      <c r="J6" s="240">
        <v>7129</v>
      </c>
      <c r="K6" s="240">
        <v>6408</v>
      </c>
      <c r="L6" s="240">
        <v>2145</v>
      </c>
      <c r="M6" s="240">
        <v>75481</v>
      </c>
      <c r="N6" s="240">
        <v>19963</v>
      </c>
      <c r="O6" s="240">
        <v>884.68753472345497</v>
      </c>
      <c r="P6" s="240">
        <v>66.374091761771254</v>
      </c>
      <c r="Q6" s="240">
        <v>2612</v>
      </c>
      <c r="R6" s="240">
        <v>11167</v>
      </c>
      <c r="S6" s="240">
        <v>43472</v>
      </c>
      <c r="T6" s="243">
        <v>-5.1009384916615943</v>
      </c>
      <c r="U6" s="243">
        <v>5.6324284859747848</v>
      </c>
      <c r="V6" s="243">
        <v>3.0265704733415362</v>
      </c>
      <c r="W6" s="243">
        <v>5.953550978548833</v>
      </c>
      <c r="X6" s="243">
        <v>6.4405757120148337</v>
      </c>
      <c r="Y6" s="243">
        <v>6.3126797792116776</v>
      </c>
      <c r="Z6" s="243">
        <v>12.077847738981106</v>
      </c>
      <c r="AA6" s="243">
        <v>-7.0099341341669259</v>
      </c>
      <c r="AB6" s="243">
        <v>-7.0099341341669259</v>
      </c>
      <c r="AC6" s="243">
        <v>2.0869842281344688</v>
      </c>
      <c r="AD6" s="243">
        <v>8.0604534005037891</v>
      </c>
      <c r="AE6" s="243">
        <v>3.9998346606409569</v>
      </c>
      <c r="AF6" s="243">
        <v>5.1569742941424295</v>
      </c>
      <c r="AG6" s="243">
        <v>-0.19974033756116683</v>
      </c>
      <c r="AH6" s="243">
        <v>4.312025430775293</v>
      </c>
      <c r="AI6" s="243">
        <v>3.4045922406967577</v>
      </c>
      <c r="AJ6" s="243">
        <v>1.3799364502950624</v>
      </c>
      <c r="AK6" s="243">
        <v>8.7370869706596039</v>
      </c>
    </row>
    <row r="7" spans="1:37" ht="15.6">
      <c r="A7" s="237">
        <v>1953</v>
      </c>
      <c r="B7" s="240">
        <v>88866</v>
      </c>
      <c r="C7" s="240">
        <v>528.04362882753821</v>
      </c>
      <c r="D7" s="240">
        <v>5301</v>
      </c>
      <c r="E7" s="240">
        <v>103957</v>
      </c>
      <c r="F7" s="240">
        <v>26699.138420456908</v>
      </c>
      <c r="G7" s="240">
        <v>29026</v>
      </c>
      <c r="H7" s="240">
        <v>2256</v>
      </c>
      <c r="I7" s="240">
        <v>2884</v>
      </c>
      <c r="J7" s="240">
        <v>7279</v>
      </c>
      <c r="K7" s="240">
        <v>6643</v>
      </c>
      <c r="L7" s="240">
        <v>2446</v>
      </c>
      <c r="M7" s="240">
        <v>75688</v>
      </c>
      <c r="N7" s="240">
        <v>21227</v>
      </c>
      <c r="O7" s="240">
        <v>930.69189359690324</v>
      </c>
      <c r="P7" s="240">
        <v>69.23615947798497</v>
      </c>
      <c r="Q7" s="240">
        <v>2682</v>
      </c>
      <c r="R7" s="240">
        <v>11736</v>
      </c>
      <c r="S7" s="240">
        <v>45147</v>
      </c>
      <c r="T7" s="243">
        <v>5.3751200597630771</v>
      </c>
      <c r="U7" s="243">
        <v>5.6324284859747564</v>
      </c>
      <c r="V7" s="243">
        <v>-9.4619982920580696</v>
      </c>
      <c r="W7" s="243">
        <v>4.8154384408304054</v>
      </c>
      <c r="X7" s="243">
        <v>7.535217858373457</v>
      </c>
      <c r="Y7" s="243">
        <v>6.1279707495429676</v>
      </c>
      <c r="Z7" s="243">
        <v>15.219611848825338</v>
      </c>
      <c r="AA7" s="243">
        <v>3.3297897802875127</v>
      </c>
      <c r="AB7" s="243">
        <v>3.3297897802875127</v>
      </c>
      <c r="AC7" s="243">
        <v>3.66729088639201</v>
      </c>
      <c r="AD7" s="243">
        <v>14.032634032634036</v>
      </c>
      <c r="AE7" s="243">
        <v>0.27424119977213479</v>
      </c>
      <c r="AF7" s="243">
        <v>6.3317136702900427</v>
      </c>
      <c r="AG7" s="243">
        <v>5.2000686194622006</v>
      </c>
      <c r="AH7" s="243">
        <v>4.3120254307753072</v>
      </c>
      <c r="AI7" s="243">
        <v>2.6799387442572709</v>
      </c>
      <c r="AJ7" s="243">
        <v>5.0953702874541023</v>
      </c>
      <c r="AK7" s="243">
        <v>3.8530548398969557</v>
      </c>
    </row>
    <row r="8" spans="1:37" ht="15.6">
      <c r="A8" s="237">
        <v>1954</v>
      </c>
      <c r="B8" s="240">
        <v>92528</v>
      </c>
      <c r="C8" s="240">
        <v>557.78530859599539</v>
      </c>
      <c r="D8" s="240">
        <v>5412</v>
      </c>
      <c r="E8" s="240">
        <v>110836</v>
      </c>
      <c r="F8" s="240">
        <v>25835.301368294738</v>
      </c>
      <c r="G8" s="240">
        <v>31042</v>
      </c>
      <c r="H8" s="240">
        <v>2275</v>
      </c>
      <c r="I8" s="240">
        <v>3049</v>
      </c>
      <c r="J8" s="240">
        <v>7867</v>
      </c>
      <c r="K8" s="240">
        <v>6767</v>
      </c>
      <c r="L8" s="240">
        <v>2727</v>
      </c>
      <c r="M8" s="240">
        <v>83258</v>
      </c>
      <c r="N8" s="240">
        <v>21817</v>
      </c>
      <c r="O8" s="240">
        <v>957.68111746932595</v>
      </c>
      <c r="P8" s="240">
        <v>72.221640281967822</v>
      </c>
      <c r="Q8" s="240">
        <v>2730</v>
      </c>
      <c r="R8" s="240">
        <v>12488</v>
      </c>
      <c r="S8" s="240">
        <v>49820</v>
      </c>
      <c r="T8" s="243">
        <v>4.1208111088605364</v>
      </c>
      <c r="U8" s="243">
        <v>5.6324284859747848</v>
      </c>
      <c r="V8" s="243">
        <v>2.0939445387662801</v>
      </c>
      <c r="W8" s="243">
        <v>6.6171590176707724</v>
      </c>
      <c r="X8" s="243">
        <v>-3.2354491690274756</v>
      </c>
      <c r="Y8" s="243">
        <v>6.945497140494723</v>
      </c>
      <c r="Z8" s="243">
        <v>0.84219858156029659</v>
      </c>
      <c r="AA8" s="243">
        <v>2.1609387046101318</v>
      </c>
      <c r="AB8" s="243">
        <v>2.1609387046101318</v>
      </c>
      <c r="AC8" s="243">
        <v>1.8666265241607647</v>
      </c>
      <c r="AD8" s="243">
        <v>11.488143908421918</v>
      </c>
      <c r="AE8" s="243">
        <v>10.001585456082879</v>
      </c>
      <c r="AF8" s="243">
        <v>2.7794789654685133</v>
      </c>
      <c r="AG8" s="243">
        <v>2.8999096326192131</v>
      </c>
      <c r="AH8" s="243">
        <v>4.312025430775293</v>
      </c>
      <c r="AI8" s="243">
        <v>1.7897091722595064</v>
      </c>
      <c r="AJ8" s="243">
        <v>6.4076346284935255</v>
      </c>
      <c r="AK8" s="243">
        <v>10.350632378674106</v>
      </c>
    </row>
    <row r="9" spans="1:37" ht="15.6">
      <c r="A9" s="237">
        <v>1955</v>
      </c>
      <c r="B9" s="240">
        <v>99125</v>
      </c>
      <c r="C9" s="240">
        <v>589.2021672079386</v>
      </c>
      <c r="D9" s="240">
        <v>5698</v>
      </c>
      <c r="E9" s="240">
        <v>118960</v>
      </c>
      <c r="F9" s="240">
        <v>26807.118079372001</v>
      </c>
      <c r="G9" s="240">
        <v>32242</v>
      </c>
      <c r="H9" s="240">
        <v>2538</v>
      </c>
      <c r="I9" s="240">
        <v>3237</v>
      </c>
      <c r="J9" s="240">
        <v>8074</v>
      </c>
      <c r="K9" s="240">
        <v>6934</v>
      </c>
      <c r="L9" s="240">
        <v>3008</v>
      </c>
      <c r="M9" s="240">
        <v>90307</v>
      </c>
      <c r="N9" s="240">
        <v>23439</v>
      </c>
      <c r="O9" s="240">
        <v>1029.5048299208206</v>
      </c>
      <c r="P9" s="240">
        <v>75.335855777449339</v>
      </c>
      <c r="Q9" s="240">
        <v>3111</v>
      </c>
      <c r="R9" s="240">
        <v>12593</v>
      </c>
      <c r="S9" s="240">
        <v>53991</v>
      </c>
      <c r="T9" s="243">
        <v>7.1297337022306664</v>
      </c>
      <c r="U9" s="243">
        <v>5.6324284859747848</v>
      </c>
      <c r="V9" s="243">
        <v>5.2845528455284523</v>
      </c>
      <c r="W9" s="243">
        <v>7.3297484571799743</v>
      </c>
      <c r="X9" s="243">
        <v>3.7615845746234839</v>
      </c>
      <c r="Y9" s="243">
        <v>3.8657303008826887</v>
      </c>
      <c r="Z9" s="243">
        <v>11.560439560439548</v>
      </c>
      <c r="AA9" s="243">
        <v>5.1642625798598658</v>
      </c>
      <c r="AB9" s="243">
        <v>5.1642625798598658</v>
      </c>
      <c r="AC9" s="243">
        <v>2.46785872617113</v>
      </c>
      <c r="AD9" s="243">
        <v>10.304363769710307</v>
      </c>
      <c r="AE9" s="243">
        <v>8.4664536741213965</v>
      </c>
      <c r="AF9" s="243">
        <v>7.4345693725076814</v>
      </c>
      <c r="AG9" s="243">
        <v>7.4997523853544266</v>
      </c>
      <c r="AH9" s="243">
        <v>4.3120254307753072</v>
      </c>
      <c r="AI9" s="243">
        <v>13.956043956043956</v>
      </c>
      <c r="AJ9" s="243">
        <v>0.84080717488789958</v>
      </c>
      <c r="AK9" s="243">
        <v>8.3721397029305535</v>
      </c>
    </row>
    <row r="10" spans="1:37" ht="15.6">
      <c r="A10" s="237">
        <v>1956</v>
      </c>
      <c r="B10" s="240">
        <v>101856</v>
      </c>
      <c r="C10" s="240">
        <v>622.38855791373931</v>
      </c>
      <c r="D10" s="240">
        <v>5360</v>
      </c>
      <c r="E10" s="240">
        <v>120674</v>
      </c>
      <c r="F10" s="240">
        <v>27257.815669898708</v>
      </c>
      <c r="G10" s="240">
        <v>33539</v>
      </c>
      <c r="H10" s="240">
        <v>2466</v>
      </c>
      <c r="I10" s="240">
        <v>3562</v>
      </c>
      <c r="J10" s="240">
        <v>8373</v>
      </c>
      <c r="K10" s="240">
        <v>7565</v>
      </c>
      <c r="L10" s="240">
        <v>3307</v>
      </c>
      <c r="M10" s="240">
        <v>96502</v>
      </c>
      <c r="N10" s="240">
        <v>24500</v>
      </c>
      <c r="O10" s="240">
        <v>1054.2112258134066</v>
      </c>
      <c r="P10" s="240">
        <v>78.584357037065161</v>
      </c>
      <c r="Q10" s="240">
        <v>3756</v>
      </c>
      <c r="R10" s="240">
        <v>12807</v>
      </c>
      <c r="S10" s="240">
        <v>58677</v>
      </c>
      <c r="T10" s="243">
        <v>2.7551071878940689</v>
      </c>
      <c r="U10" s="243">
        <v>5.6324284859747848</v>
      </c>
      <c r="V10" s="243">
        <v>-5.9319059319059306</v>
      </c>
      <c r="W10" s="243">
        <v>1.4408204438466754</v>
      </c>
      <c r="X10" s="243">
        <v>1.6812608844869175</v>
      </c>
      <c r="Y10" s="243">
        <v>4.0227033062464983</v>
      </c>
      <c r="Z10" s="243">
        <v>-2.8368794326241158</v>
      </c>
      <c r="AA10" s="243">
        <v>0.92256262045422943</v>
      </c>
      <c r="AB10" s="243">
        <v>0.92256262045422943</v>
      </c>
      <c r="AC10" s="243">
        <v>9.1000865301413398</v>
      </c>
      <c r="AD10" s="243">
        <v>9.9401595744680833</v>
      </c>
      <c r="AE10" s="243">
        <v>6.8599333385008947</v>
      </c>
      <c r="AF10" s="243">
        <v>4.5266436281411302</v>
      </c>
      <c r="AG10" s="243">
        <v>2.3998329269116851</v>
      </c>
      <c r="AH10" s="243">
        <v>4.3120254307753072</v>
      </c>
      <c r="AI10" s="243">
        <v>20.732883317261326</v>
      </c>
      <c r="AJ10" s="243">
        <v>1.6993567855157607</v>
      </c>
      <c r="AK10" s="243">
        <v>8.679224315163637</v>
      </c>
    </row>
    <row r="11" spans="1:37" ht="15.6">
      <c r="A11" s="237">
        <v>1957</v>
      </c>
      <c r="B11" s="240">
        <v>107087</v>
      </c>
      <c r="C11" s="240">
        <v>657.44414834312033</v>
      </c>
      <c r="D11" s="240">
        <v>5183</v>
      </c>
      <c r="E11" s="240">
        <v>130717</v>
      </c>
      <c r="F11" s="240">
        <v>30055.89664486637</v>
      </c>
      <c r="G11" s="240">
        <v>34766</v>
      </c>
      <c r="H11" s="240">
        <v>2676</v>
      </c>
      <c r="I11" s="240">
        <v>3787</v>
      </c>
      <c r="J11" s="240">
        <v>8751</v>
      </c>
      <c r="K11" s="240">
        <v>7992</v>
      </c>
      <c r="L11" s="240">
        <v>3789</v>
      </c>
      <c r="M11" s="240">
        <v>103812</v>
      </c>
      <c r="N11" s="240">
        <v>25696</v>
      </c>
      <c r="O11" s="240">
        <v>1115.3543386584056</v>
      </c>
      <c r="P11" s="240">
        <v>81.972934497114665</v>
      </c>
      <c r="Q11" s="240">
        <v>4088</v>
      </c>
      <c r="R11" s="240">
        <v>12932</v>
      </c>
      <c r="S11" s="240">
        <v>67414</v>
      </c>
      <c r="T11" s="243">
        <v>5.1356817467797669</v>
      </c>
      <c r="U11" s="243">
        <v>5.6324284859747564</v>
      </c>
      <c r="V11" s="243">
        <v>-3.3022388059701484</v>
      </c>
      <c r="W11" s="243">
        <v>8.3224223942191458</v>
      </c>
      <c r="X11" s="243">
        <v>10.26524285310812</v>
      </c>
      <c r="Y11" s="243">
        <v>3.6584275023107296</v>
      </c>
      <c r="Z11" s="243">
        <v>8.5158150851581524</v>
      </c>
      <c r="AA11" s="243">
        <v>3.3180959785787536</v>
      </c>
      <c r="AB11" s="243">
        <v>3.3180959785787536</v>
      </c>
      <c r="AC11" s="243">
        <v>5.6444150693985478</v>
      </c>
      <c r="AD11" s="243">
        <v>14.575143634714237</v>
      </c>
      <c r="AE11" s="243">
        <v>7.5749725394292255</v>
      </c>
      <c r="AF11" s="243">
        <v>4.8816326530612315</v>
      </c>
      <c r="AG11" s="243">
        <v>5.7998920280726765</v>
      </c>
      <c r="AH11" s="243">
        <v>4.312025430775293</v>
      </c>
      <c r="AI11" s="243">
        <v>8.8391906283280122</v>
      </c>
      <c r="AJ11" s="243">
        <v>0.97602873428593284</v>
      </c>
      <c r="AK11" s="243">
        <v>14.88999096750004</v>
      </c>
    </row>
    <row r="12" spans="1:37" ht="15.6">
      <c r="A12" s="237">
        <v>1958</v>
      </c>
      <c r="B12" s="240">
        <v>113655</v>
      </c>
      <c r="C12" s="240">
        <v>694.47421983377251</v>
      </c>
      <c r="D12" s="240">
        <v>5306</v>
      </c>
      <c r="E12" s="240">
        <v>142577</v>
      </c>
      <c r="F12" s="240">
        <v>31706.107171360592</v>
      </c>
      <c r="G12" s="240">
        <v>35639</v>
      </c>
      <c r="H12" s="240">
        <v>3007</v>
      </c>
      <c r="I12" s="240">
        <v>3989</v>
      </c>
      <c r="J12" s="240">
        <v>9007</v>
      </c>
      <c r="K12" s="240">
        <v>8365</v>
      </c>
      <c r="L12" s="240">
        <v>3849</v>
      </c>
      <c r="M12" s="240">
        <v>109333</v>
      </c>
      <c r="N12" s="240">
        <v>25775</v>
      </c>
      <c r="O12" s="240">
        <v>1184.5031584908668</v>
      </c>
      <c r="P12" s="240">
        <v>85.50762827898302</v>
      </c>
      <c r="Q12" s="240">
        <v>4423</v>
      </c>
      <c r="R12" s="240">
        <v>13292</v>
      </c>
      <c r="S12" s="240">
        <v>68540</v>
      </c>
      <c r="T12" s="243">
        <v>6.1333308431462257</v>
      </c>
      <c r="U12" s="243">
        <v>5.6324284859747848</v>
      </c>
      <c r="V12" s="243">
        <v>2.3731429673933917</v>
      </c>
      <c r="W12" s="243">
        <v>9.0730356418828393</v>
      </c>
      <c r="X12" s="243">
        <v>5.490471789921088</v>
      </c>
      <c r="Y12" s="243">
        <v>2.5110740378530636</v>
      </c>
      <c r="Z12" s="243">
        <v>12.369207772795221</v>
      </c>
      <c r="AA12" s="243">
        <v>4.3455066348147398</v>
      </c>
      <c r="AB12" s="243">
        <v>4.3455066348147398</v>
      </c>
      <c r="AC12" s="243">
        <v>4.6671671671671788</v>
      </c>
      <c r="AD12" s="243">
        <v>1.5835312747426684</v>
      </c>
      <c r="AE12" s="243">
        <v>5.3182676376526814</v>
      </c>
      <c r="AF12" s="243">
        <v>0.30744084682442008</v>
      </c>
      <c r="AG12" s="243">
        <v>6.1997176534621445</v>
      </c>
      <c r="AH12" s="243">
        <v>4.312025430775293</v>
      </c>
      <c r="AI12" s="243">
        <v>8.1947162426614426</v>
      </c>
      <c r="AJ12" s="243">
        <v>2.7837921435199604</v>
      </c>
      <c r="AK12" s="243">
        <v>1.670276203755904</v>
      </c>
    </row>
    <row r="13" spans="1:37" ht="15.6">
      <c r="A13" s="237">
        <v>1959</v>
      </c>
      <c r="B13" s="240">
        <v>106303</v>
      </c>
      <c r="C13" s="240">
        <v>733.589983619441</v>
      </c>
      <c r="D13" s="240">
        <v>5289</v>
      </c>
      <c r="E13" s="240">
        <v>154538</v>
      </c>
      <c r="F13" s="240">
        <v>29910.358900891744</v>
      </c>
      <c r="G13" s="240">
        <v>38207</v>
      </c>
      <c r="H13" s="240">
        <v>3118</v>
      </c>
      <c r="I13" s="240">
        <v>4012</v>
      </c>
      <c r="J13" s="240">
        <v>9490</v>
      </c>
      <c r="K13" s="240">
        <v>8778</v>
      </c>
      <c r="L13" s="240">
        <v>4064</v>
      </c>
      <c r="M13" s="240">
        <v>112599</v>
      </c>
      <c r="N13" s="240">
        <v>25907</v>
      </c>
      <c r="O13" s="240">
        <v>1183.3206409500649</v>
      </c>
      <c r="P13" s="240">
        <v>89.194738955625581</v>
      </c>
      <c r="Q13" s="240">
        <v>4692</v>
      </c>
      <c r="R13" s="240">
        <v>12125</v>
      </c>
      <c r="S13" s="240">
        <v>72658</v>
      </c>
      <c r="T13" s="243">
        <v>-6.4686991333421417</v>
      </c>
      <c r="U13" s="243">
        <v>5.6324284859747848</v>
      </c>
      <c r="V13" s="243">
        <v>-0.32039200904637255</v>
      </c>
      <c r="W13" s="243">
        <v>8.3891511253568325</v>
      </c>
      <c r="X13" s="243">
        <v>-5.6637298952011008</v>
      </c>
      <c r="Y13" s="243">
        <v>7.2055893824181254</v>
      </c>
      <c r="Z13" s="243">
        <v>3.6913867642168299</v>
      </c>
      <c r="AA13" s="243">
        <v>-8.0118365843394059</v>
      </c>
      <c r="AB13" s="243">
        <v>-8.0118365843394059</v>
      </c>
      <c r="AC13" s="243">
        <v>4.9372384937238536</v>
      </c>
      <c r="AD13" s="243">
        <v>5.5858664588204618</v>
      </c>
      <c r="AE13" s="243">
        <v>2.9872042292811756</v>
      </c>
      <c r="AF13" s="243">
        <v>0.51212415130940769</v>
      </c>
      <c r="AG13" s="243">
        <v>-9.9832367041429393E-2</v>
      </c>
      <c r="AH13" s="243">
        <v>4.3120254307753072</v>
      </c>
      <c r="AI13" s="243">
        <v>6.0818449016504701</v>
      </c>
      <c r="AJ13" s="243">
        <v>-8.7797171230815536</v>
      </c>
      <c r="AK13" s="243">
        <v>6.0081704114385701</v>
      </c>
    </row>
    <row r="14" spans="1:37" ht="15.6">
      <c r="A14" s="237">
        <v>1960</v>
      </c>
      <c r="B14" s="240">
        <v>114614</v>
      </c>
      <c r="C14" s="240">
        <v>774.90891482708014</v>
      </c>
      <c r="D14" s="240">
        <v>5516</v>
      </c>
      <c r="E14" s="240">
        <v>167397</v>
      </c>
      <c r="F14" s="240">
        <v>32391.543122247258</v>
      </c>
      <c r="G14" s="240">
        <v>39831</v>
      </c>
      <c r="H14" s="240">
        <v>3389</v>
      </c>
      <c r="I14" s="240">
        <v>4209</v>
      </c>
      <c r="J14" s="240">
        <v>10106</v>
      </c>
      <c r="K14" s="240">
        <v>8992</v>
      </c>
      <c r="L14" s="240">
        <v>4330</v>
      </c>
      <c r="M14" s="240">
        <v>121723</v>
      </c>
      <c r="N14" s="240">
        <v>29486</v>
      </c>
      <c r="O14" s="240">
        <v>1173.8541770004358</v>
      </c>
      <c r="P14" s="240">
        <v>93.040838782305798</v>
      </c>
      <c r="Q14" s="240">
        <v>5258</v>
      </c>
      <c r="R14" s="240">
        <v>12554</v>
      </c>
      <c r="S14" s="240">
        <v>72889</v>
      </c>
      <c r="T14" s="243">
        <v>7.8182177360939846</v>
      </c>
      <c r="U14" s="243">
        <v>5.6324284859747848</v>
      </c>
      <c r="V14" s="243">
        <v>4.2919266401966354</v>
      </c>
      <c r="W14" s="243">
        <v>8.3209307743079393</v>
      </c>
      <c r="X14" s="243">
        <v>8.2954010333909451</v>
      </c>
      <c r="Y14" s="243">
        <v>4.2505300075902426</v>
      </c>
      <c r="Z14" s="243">
        <v>8.6914688903143116</v>
      </c>
      <c r="AA14" s="243">
        <v>6.0669621670412965</v>
      </c>
      <c r="AB14" s="243">
        <v>6.0669621670412965</v>
      </c>
      <c r="AC14" s="243">
        <v>2.4379129642287438</v>
      </c>
      <c r="AD14" s="243">
        <v>6.545275590551185</v>
      </c>
      <c r="AE14" s="243">
        <v>8.1030915017007175</v>
      </c>
      <c r="AF14" s="243">
        <v>13.814799089049302</v>
      </c>
      <c r="AG14" s="243">
        <v>-0.79999144965718472</v>
      </c>
      <c r="AH14" s="243">
        <v>4.312025430775293</v>
      </c>
      <c r="AI14" s="243">
        <v>12.063086104006814</v>
      </c>
      <c r="AJ14" s="243">
        <v>3.5381443298968946</v>
      </c>
      <c r="AK14" s="243">
        <v>0.317927826254504</v>
      </c>
    </row>
    <row r="15" spans="1:37" ht="15.6">
      <c r="A15" s="237">
        <v>1961</v>
      </c>
      <c r="B15" s="240">
        <v>122809</v>
      </c>
      <c r="C15" s="240">
        <v>818.55510528615866</v>
      </c>
      <c r="D15" s="240">
        <v>5631</v>
      </c>
      <c r="E15" s="240">
        <v>179951</v>
      </c>
      <c r="F15" s="240">
        <v>33940.658681761437</v>
      </c>
      <c r="G15" s="240">
        <v>41847</v>
      </c>
      <c r="H15" s="240">
        <v>3530</v>
      </c>
      <c r="I15" s="240">
        <v>4114</v>
      </c>
      <c r="J15" s="240">
        <v>10360</v>
      </c>
      <c r="K15" s="240">
        <v>9378</v>
      </c>
      <c r="L15" s="240">
        <v>4453</v>
      </c>
      <c r="M15" s="240">
        <v>126365</v>
      </c>
      <c r="N15" s="240">
        <v>32105</v>
      </c>
      <c r="O15" s="240">
        <v>1254.8534667337685</v>
      </c>
      <c r="P15" s="240">
        <v>97.052783411605475</v>
      </c>
      <c r="Q15" s="240">
        <v>5488</v>
      </c>
      <c r="R15" s="240">
        <v>12912</v>
      </c>
      <c r="S15" s="240">
        <v>70643</v>
      </c>
      <c r="T15" s="243">
        <v>7.1500863768824132</v>
      </c>
      <c r="U15" s="243">
        <v>5.6324284859747848</v>
      </c>
      <c r="V15" s="243">
        <v>2.0848440899202245</v>
      </c>
      <c r="W15" s="243">
        <v>7.4995370287400647</v>
      </c>
      <c r="X15" s="243">
        <v>4.7824691576679186</v>
      </c>
      <c r="Y15" s="243">
        <v>5.0613843488740002</v>
      </c>
      <c r="Z15" s="243">
        <v>4.1605193272351784</v>
      </c>
      <c r="AA15" s="243">
        <v>5.4389343292539962</v>
      </c>
      <c r="AB15" s="243">
        <v>5.4389343292539962</v>
      </c>
      <c r="AC15" s="243">
        <v>4.2927046263345119</v>
      </c>
      <c r="AD15" s="243">
        <v>2.8406466512702195</v>
      </c>
      <c r="AE15" s="243">
        <v>3.8135767274878134</v>
      </c>
      <c r="AF15" s="243">
        <v>8.8821813742114841</v>
      </c>
      <c r="AG15" s="243">
        <v>6.9002855141948771</v>
      </c>
      <c r="AH15" s="243">
        <v>4.3120254307753072</v>
      </c>
      <c r="AI15" s="243">
        <v>4.3742868010650398</v>
      </c>
      <c r="AJ15" s="243">
        <v>2.8516807392066283</v>
      </c>
      <c r="AK15" s="243">
        <v>-3.081397741771724</v>
      </c>
    </row>
    <row r="16" spans="1:37" ht="15.6">
      <c r="A16" s="237">
        <v>1962</v>
      </c>
      <c r="B16" s="240">
        <v>120833</v>
      </c>
      <c r="C16" s="240">
        <v>850.03799395101089</v>
      </c>
      <c r="D16" s="240">
        <v>5945</v>
      </c>
      <c r="E16" s="240">
        <v>190932</v>
      </c>
      <c r="F16" s="240">
        <v>35548.982784776599</v>
      </c>
      <c r="G16" s="240">
        <v>44120</v>
      </c>
      <c r="H16" s="240">
        <v>3746</v>
      </c>
      <c r="I16" s="240">
        <v>4815</v>
      </c>
      <c r="J16" s="240">
        <v>10911</v>
      </c>
      <c r="K16" s="240">
        <v>9709</v>
      </c>
      <c r="L16" s="240">
        <v>4533</v>
      </c>
      <c r="M16" s="240">
        <v>132039</v>
      </c>
      <c r="N16" s="240">
        <v>34500</v>
      </c>
      <c r="O16" s="240">
        <v>1296.2668751546912</v>
      </c>
      <c r="P16" s="240">
        <v>101.23772411358918</v>
      </c>
      <c r="Q16" s="240">
        <v>5781</v>
      </c>
      <c r="R16" s="240">
        <v>12624</v>
      </c>
      <c r="S16" s="240">
        <v>73762</v>
      </c>
      <c r="T16" s="243">
        <v>-1.6090025975294964</v>
      </c>
      <c r="U16" s="243">
        <v>3.8461538461538396</v>
      </c>
      <c r="V16" s="243">
        <v>5.5762741964127116</v>
      </c>
      <c r="W16" s="243">
        <v>6.1022167145500674</v>
      </c>
      <c r="X16" s="243">
        <v>4.7386355052662026</v>
      </c>
      <c r="Y16" s="243">
        <v>5.431691638588191</v>
      </c>
      <c r="Z16" s="243">
        <v>6.1189801699716782</v>
      </c>
      <c r="AA16" s="243">
        <v>-3.1493246509211872</v>
      </c>
      <c r="AB16" s="243">
        <v>-3.1493246509211872</v>
      </c>
      <c r="AC16" s="243">
        <v>3.5295372147579513</v>
      </c>
      <c r="AD16" s="243">
        <v>1.7965416573096746</v>
      </c>
      <c r="AE16" s="243">
        <v>4.4901673722945503</v>
      </c>
      <c r="AF16" s="243">
        <v>7.4598972122722245</v>
      </c>
      <c r="AG16" s="243">
        <v>3.3002585177308958</v>
      </c>
      <c r="AH16" s="243">
        <v>4.3120254307753072</v>
      </c>
      <c r="AI16" s="243">
        <v>5.3389212827988217</v>
      </c>
      <c r="AJ16" s="243">
        <v>-2.2304832713754621</v>
      </c>
      <c r="AK16" s="243">
        <v>4.4151579066574129</v>
      </c>
    </row>
    <row r="17" spans="1:37" ht="15.6">
      <c r="A17" s="237">
        <v>1963</v>
      </c>
      <c r="B17" s="240">
        <v>117927</v>
      </c>
      <c r="C17" s="240">
        <v>873.43353506892879</v>
      </c>
      <c r="D17" s="240">
        <v>6327</v>
      </c>
      <c r="E17" s="240">
        <v>192912</v>
      </c>
      <c r="F17" s="240">
        <v>37797.866522151213</v>
      </c>
      <c r="G17" s="240">
        <v>45571</v>
      </c>
      <c r="H17" s="240">
        <v>4067</v>
      </c>
      <c r="I17" s="240">
        <v>5129</v>
      </c>
      <c r="J17" s="240">
        <v>11189</v>
      </c>
      <c r="K17" s="240">
        <v>10635</v>
      </c>
      <c r="L17" s="240">
        <v>4681</v>
      </c>
      <c r="M17" s="240">
        <v>141839</v>
      </c>
      <c r="N17" s="240">
        <v>36098</v>
      </c>
      <c r="O17" s="240">
        <v>1357.3248214854721</v>
      </c>
      <c r="P17" s="240">
        <v>105.60312052290529</v>
      </c>
      <c r="Q17" s="240">
        <v>6076</v>
      </c>
      <c r="R17" s="240">
        <v>12686</v>
      </c>
      <c r="S17" s="240">
        <v>77134</v>
      </c>
      <c r="T17" s="243">
        <v>-2.4049721516473141</v>
      </c>
      <c r="U17" s="243">
        <v>2.7522935779816748</v>
      </c>
      <c r="V17" s="243">
        <v>6.4255677039529076</v>
      </c>
      <c r="W17" s="243">
        <v>1.0370184149330726</v>
      </c>
      <c r="X17" s="243">
        <v>6.3261549591727544</v>
      </c>
      <c r="Y17" s="243">
        <v>3.2887579329102294</v>
      </c>
      <c r="Z17" s="243">
        <v>8.5691404164442133</v>
      </c>
      <c r="AA17" s="243">
        <v>-3.9067048017518999</v>
      </c>
      <c r="AB17" s="243">
        <v>-3.9067048017518999</v>
      </c>
      <c r="AC17" s="243">
        <v>9.5375424863528764</v>
      </c>
      <c r="AD17" s="243">
        <v>3.2649459519082313</v>
      </c>
      <c r="AE17" s="243">
        <v>7.4220495459674822</v>
      </c>
      <c r="AF17" s="243">
        <v>4.631884057971007</v>
      </c>
      <c r="AG17" s="243">
        <v>4.7102913374604611</v>
      </c>
      <c r="AH17" s="243">
        <v>4.312025430775293</v>
      </c>
      <c r="AI17" s="243">
        <v>5.1029233696592229</v>
      </c>
      <c r="AJ17" s="243">
        <v>0.49112801013941976</v>
      </c>
      <c r="AK17" s="243">
        <v>4.5714595591225873</v>
      </c>
    </row>
    <row r="18" spans="1:37" ht="15.6">
      <c r="A18" s="237">
        <v>1964</v>
      </c>
      <c r="B18" s="240">
        <v>130074</v>
      </c>
      <c r="C18" s="240">
        <v>930.04496789747009</v>
      </c>
      <c r="D18" s="240">
        <v>6632</v>
      </c>
      <c r="E18" s="240">
        <v>199423</v>
      </c>
      <c r="F18" s="240">
        <v>38638.904023526622</v>
      </c>
      <c r="G18" s="240">
        <v>48389</v>
      </c>
      <c r="H18" s="240">
        <v>4265</v>
      </c>
      <c r="I18" s="240">
        <v>5472</v>
      </c>
      <c r="J18" s="240">
        <v>11977</v>
      </c>
      <c r="K18" s="240">
        <v>11128</v>
      </c>
      <c r="L18" s="240">
        <v>5050</v>
      </c>
      <c r="M18" s="240">
        <v>157312</v>
      </c>
      <c r="N18" s="240">
        <v>38614</v>
      </c>
      <c r="O18" s="240">
        <v>1414.5018222707679</v>
      </c>
      <c r="P18" s="240">
        <v>110.15675393554525</v>
      </c>
      <c r="Q18" s="240">
        <v>6283</v>
      </c>
      <c r="R18" s="240">
        <v>12940</v>
      </c>
      <c r="S18" s="240">
        <v>83688</v>
      </c>
      <c r="T18" s="243">
        <v>10.30044010277544</v>
      </c>
      <c r="U18" s="243">
        <v>6.4814814814814383</v>
      </c>
      <c r="V18" s="243">
        <v>4.8206100837679742</v>
      </c>
      <c r="W18" s="243">
        <v>3.3751140416355696</v>
      </c>
      <c r="X18" s="243">
        <v>2.2250925217763893</v>
      </c>
      <c r="Y18" s="243">
        <v>6.1837572140176889</v>
      </c>
      <c r="Z18" s="243">
        <v>4.8684534054585669</v>
      </c>
      <c r="AA18" s="243">
        <v>8.6278308418711589</v>
      </c>
      <c r="AB18" s="243">
        <v>8.6278308418711589</v>
      </c>
      <c r="AC18" s="243">
        <v>4.6356370474847353</v>
      </c>
      <c r="AD18" s="243">
        <v>7.8829309976500781</v>
      </c>
      <c r="AE18" s="243">
        <v>10.908847355099809</v>
      </c>
      <c r="AF18" s="243">
        <v>6.9699152307607193</v>
      </c>
      <c r="AG18" s="243">
        <v>4.2124773584204149</v>
      </c>
      <c r="AH18" s="243">
        <v>4.3120254307753072</v>
      </c>
      <c r="AI18" s="243">
        <v>3.4068466096115912</v>
      </c>
      <c r="AJ18" s="243">
        <v>2.0022071574964571</v>
      </c>
      <c r="AK18" s="243">
        <v>8.4969014960976921</v>
      </c>
    </row>
    <row r="19" spans="1:37" ht="15.6">
      <c r="A19" s="237">
        <v>1965</v>
      </c>
      <c r="B19" s="240">
        <v>141960</v>
      </c>
      <c r="C19" s="240">
        <v>953.49147969320495</v>
      </c>
      <c r="D19" s="240">
        <v>6958</v>
      </c>
      <c r="E19" s="240">
        <v>203444</v>
      </c>
      <c r="F19" s="240">
        <v>38951.220099512961</v>
      </c>
      <c r="G19" s="240">
        <v>50136</v>
      </c>
      <c r="H19" s="240">
        <v>4651</v>
      </c>
      <c r="I19" s="240">
        <v>4791</v>
      </c>
      <c r="J19" s="240">
        <v>13131</v>
      </c>
      <c r="K19" s="240">
        <v>11613</v>
      </c>
      <c r="L19" s="240">
        <v>5456</v>
      </c>
      <c r="M19" s="240">
        <v>167116</v>
      </c>
      <c r="N19" s="240">
        <v>41213</v>
      </c>
      <c r="O19" s="240">
        <v>1501.747937637414</v>
      </c>
      <c r="P19" s="240">
        <v>114.90674117896253</v>
      </c>
      <c r="Q19" s="240">
        <v>6603</v>
      </c>
      <c r="R19" s="240">
        <v>13088</v>
      </c>
      <c r="S19" s="240">
        <v>89240</v>
      </c>
      <c r="T19" s="243">
        <v>9.1378753632547642</v>
      </c>
      <c r="U19" s="243">
        <v>2.5210084033613782</v>
      </c>
      <c r="V19" s="243">
        <v>4.9155609167671912</v>
      </c>
      <c r="W19" s="243">
        <v>2.0163170747606927</v>
      </c>
      <c r="X19" s="243">
        <v>0.80829434446737025</v>
      </c>
      <c r="Y19" s="243">
        <v>3.6103246605633501</v>
      </c>
      <c r="Z19" s="243">
        <v>9.0504103165298915</v>
      </c>
      <c r="AA19" s="243">
        <v>7.5027198185919843</v>
      </c>
      <c r="AB19" s="243">
        <v>7.5027198185919843</v>
      </c>
      <c r="AC19" s="243">
        <v>4.3583752695902263</v>
      </c>
      <c r="AD19" s="243">
        <v>8.0396039603960503</v>
      </c>
      <c r="AE19" s="243">
        <v>6.2322009764035755</v>
      </c>
      <c r="AF19" s="243">
        <v>6.73071942818666</v>
      </c>
      <c r="AG19" s="243">
        <v>6.1679747592396694</v>
      </c>
      <c r="AH19" s="243">
        <v>4.312025430775293</v>
      </c>
      <c r="AI19" s="243">
        <v>5.0931083877128884</v>
      </c>
      <c r="AJ19" s="243">
        <v>1.1437403400309023</v>
      </c>
      <c r="AK19" s="243">
        <v>6.6341649937864418</v>
      </c>
    </row>
    <row r="20" spans="1:37" ht="15.6">
      <c r="A20" s="237">
        <v>1966</v>
      </c>
      <c r="B20" s="240">
        <v>142919</v>
      </c>
      <c r="C20" s="240">
        <v>1018.6874783047059</v>
      </c>
      <c r="D20" s="240">
        <v>7461</v>
      </c>
      <c r="E20" s="240">
        <v>216181</v>
      </c>
      <c r="F20" s="240">
        <v>43294.733892964425</v>
      </c>
      <c r="G20" s="240">
        <v>52806</v>
      </c>
      <c r="H20" s="240">
        <v>5013</v>
      </c>
      <c r="I20" s="240">
        <v>5434</v>
      </c>
      <c r="J20" s="240">
        <v>13475</v>
      </c>
      <c r="K20" s="240">
        <v>12255</v>
      </c>
      <c r="L20" s="240">
        <v>5695</v>
      </c>
      <c r="M20" s="240">
        <v>177427</v>
      </c>
      <c r="N20" s="240">
        <v>44689</v>
      </c>
      <c r="O20" s="240">
        <v>1531.6552978706484</v>
      </c>
      <c r="P20" s="240">
        <v>119.86154908027456</v>
      </c>
      <c r="Q20" s="240">
        <v>6891</v>
      </c>
      <c r="R20" s="240">
        <v>13536</v>
      </c>
      <c r="S20" s="240">
        <v>90842</v>
      </c>
      <c r="T20" s="243">
        <v>0.6755424063116493</v>
      </c>
      <c r="U20" s="243">
        <v>6.8376068376068133</v>
      </c>
      <c r="V20" s="243">
        <v>7.2290888186260531</v>
      </c>
      <c r="W20" s="243">
        <v>6.2606909026562647</v>
      </c>
      <c r="X20" s="243">
        <v>11.151162357314121</v>
      </c>
      <c r="Y20" s="243">
        <v>5.3255146002872351</v>
      </c>
      <c r="Z20" s="243">
        <v>7.7832724145345082</v>
      </c>
      <c r="AA20" s="243">
        <v>-0.78708352604783727</v>
      </c>
      <c r="AB20" s="243">
        <v>-0.78708352604783727</v>
      </c>
      <c r="AC20" s="243">
        <v>5.5282872642727909</v>
      </c>
      <c r="AD20" s="243">
        <v>4.3804985337243352</v>
      </c>
      <c r="AE20" s="243">
        <v>6.1699657722779335</v>
      </c>
      <c r="AF20" s="243">
        <v>8.4342319171135216</v>
      </c>
      <c r="AG20" s="243">
        <v>1.9915033331282785</v>
      </c>
      <c r="AH20" s="243">
        <v>4.3120254307753072</v>
      </c>
      <c r="AI20" s="243">
        <v>4.3616537937301274</v>
      </c>
      <c r="AJ20" s="243">
        <v>3.4229828850855739</v>
      </c>
      <c r="AK20" s="243">
        <v>1.7951591214701921</v>
      </c>
    </row>
    <row r="21" spans="1:37" ht="15.6">
      <c r="A21" s="237">
        <v>1967</v>
      </c>
      <c r="B21" s="240">
        <v>146755</v>
      </c>
      <c r="C21" s="240">
        <v>1119.714335657239</v>
      </c>
      <c r="D21" s="240">
        <v>7928</v>
      </c>
      <c r="E21" s="240">
        <v>224877</v>
      </c>
      <c r="F21" s="240">
        <v>44700.329501688138</v>
      </c>
      <c r="G21" s="240">
        <v>55028</v>
      </c>
      <c r="H21" s="240">
        <v>5320</v>
      </c>
      <c r="I21" s="240">
        <v>5617</v>
      </c>
      <c r="J21" s="240">
        <v>14188</v>
      </c>
      <c r="K21" s="240">
        <v>12757</v>
      </c>
      <c r="L21" s="240">
        <v>5915</v>
      </c>
      <c r="M21" s="240">
        <v>188258</v>
      </c>
      <c r="N21" s="240">
        <v>46473</v>
      </c>
      <c r="O21" s="240">
        <v>1671.8073819284589</v>
      </c>
      <c r="P21" s="240">
        <v>125.03000955833721</v>
      </c>
      <c r="Q21" s="240">
        <v>7035</v>
      </c>
      <c r="R21" s="240">
        <v>12975</v>
      </c>
      <c r="S21" s="240">
        <v>96334</v>
      </c>
      <c r="T21" s="243">
        <v>2.6840378116275616</v>
      </c>
      <c r="U21" s="243">
        <v>9.9173553719008538</v>
      </c>
      <c r="V21" s="243">
        <v>6.2592145824956589</v>
      </c>
      <c r="W21" s="243">
        <v>4.0225551736739078</v>
      </c>
      <c r="X21" s="243">
        <v>3.2465740803458942</v>
      </c>
      <c r="Y21" s="243">
        <v>4.2078551679733351</v>
      </c>
      <c r="Z21" s="243">
        <v>6.1240773987632195</v>
      </c>
      <c r="AA21" s="243">
        <v>1.2395579147561904</v>
      </c>
      <c r="AB21" s="243">
        <v>1.2395579147561904</v>
      </c>
      <c r="AC21" s="243">
        <v>4.0962872297021704</v>
      </c>
      <c r="AD21" s="243">
        <v>3.8630377524143853</v>
      </c>
      <c r="AE21" s="243">
        <v>6.1044824068490158</v>
      </c>
      <c r="AF21" s="243">
        <v>3.9920338338293533</v>
      </c>
      <c r="AG21" s="243">
        <v>9.1503672042041018</v>
      </c>
      <c r="AH21" s="243">
        <v>4.312025430775293</v>
      </c>
      <c r="AI21" s="243">
        <v>2.0896821941663006</v>
      </c>
      <c r="AJ21" s="243">
        <v>-4.144503546099287</v>
      </c>
      <c r="AK21" s="243">
        <v>6.0456616983333618</v>
      </c>
    </row>
    <row r="22" spans="1:37" ht="15.6">
      <c r="A22" s="237">
        <v>1968</v>
      </c>
      <c r="B22" s="240">
        <v>153002</v>
      </c>
      <c r="C22" s="240">
        <v>1268.4263958617164</v>
      </c>
      <c r="D22" s="240">
        <v>8604</v>
      </c>
      <c r="E22" s="240">
        <v>244921</v>
      </c>
      <c r="F22" s="240">
        <v>46300.689863509913</v>
      </c>
      <c r="G22" s="240">
        <v>58398</v>
      </c>
      <c r="H22" s="240">
        <v>5730</v>
      </c>
      <c r="I22" s="240">
        <v>5628</v>
      </c>
      <c r="J22" s="240">
        <v>14973</v>
      </c>
      <c r="K22" s="240">
        <v>13877</v>
      </c>
      <c r="L22" s="240">
        <v>6218</v>
      </c>
      <c r="M22" s="240">
        <v>201669</v>
      </c>
      <c r="N22" s="240">
        <v>45980</v>
      </c>
      <c r="O22" s="240">
        <v>1747.4913365932089</v>
      </c>
      <c r="P22" s="240">
        <v>130.4213353665935</v>
      </c>
      <c r="Q22" s="240">
        <v>7400</v>
      </c>
      <c r="R22" s="240">
        <v>13181</v>
      </c>
      <c r="S22" s="240">
        <v>102916</v>
      </c>
      <c r="T22" s="243">
        <v>4.2567544547034117</v>
      </c>
      <c r="U22" s="243">
        <v>13.281250000000043</v>
      </c>
      <c r="V22" s="243">
        <v>8.5267406659939411</v>
      </c>
      <c r="W22" s="243">
        <v>8.9133170577693619</v>
      </c>
      <c r="X22" s="243">
        <v>3.5801981320100538</v>
      </c>
      <c r="Y22" s="243">
        <v>6.1241549756487501</v>
      </c>
      <c r="Z22" s="243">
        <v>7.7067669172932369</v>
      </c>
      <c r="AA22" s="243">
        <v>2.7942832404271201</v>
      </c>
      <c r="AB22" s="243">
        <v>2.7942832404271201</v>
      </c>
      <c r="AC22" s="243">
        <v>8.7794936113506452</v>
      </c>
      <c r="AD22" s="243">
        <v>5.1225697379543504</v>
      </c>
      <c r="AE22" s="243">
        <v>7.1237344495320229</v>
      </c>
      <c r="AF22" s="243">
        <v>-1.0608310201622402</v>
      </c>
      <c r="AG22" s="243">
        <v>4.5270738413325518</v>
      </c>
      <c r="AH22" s="243">
        <v>4.312025430775293</v>
      </c>
      <c r="AI22" s="243">
        <v>5.1883439943141383</v>
      </c>
      <c r="AJ22" s="243">
        <v>1.5876685934489387</v>
      </c>
      <c r="AK22" s="243">
        <v>6.8324786679677061</v>
      </c>
    </row>
    <row r="23" spans="1:37" ht="15.6">
      <c r="A23" s="237">
        <v>1969</v>
      </c>
      <c r="B23" s="240">
        <v>166080</v>
      </c>
      <c r="C23" s="240">
        <v>1388.4126765513386</v>
      </c>
      <c r="D23" s="240">
        <v>8989</v>
      </c>
      <c r="E23" s="240">
        <v>266292</v>
      </c>
      <c r="F23" s="240">
        <v>48023.449029519332</v>
      </c>
      <c r="G23" s="240">
        <v>62116</v>
      </c>
      <c r="H23" s="240">
        <v>6111</v>
      </c>
      <c r="I23" s="240">
        <v>6244</v>
      </c>
      <c r="J23" s="240">
        <v>15792</v>
      </c>
      <c r="K23" s="240">
        <v>14532</v>
      </c>
      <c r="L23" s="240">
        <v>6681</v>
      </c>
      <c r="M23" s="240">
        <v>213924</v>
      </c>
      <c r="N23" s="240">
        <v>47166</v>
      </c>
      <c r="O23" s="240">
        <v>1829.6435501736648</v>
      </c>
      <c r="P23" s="240">
        <v>136.04513651475776</v>
      </c>
      <c r="Q23" s="240">
        <v>7604</v>
      </c>
      <c r="R23" s="240">
        <v>13984</v>
      </c>
      <c r="S23" s="240">
        <v>106612</v>
      </c>
      <c r="T23" s="243">
        <v>8.5476006849583683</v>
      </c>
      <c r="U23" s="243">
        <v>9.4594594594594952</v>
      </c>
      <c r="V23" s="243">
        <v>4.4746629474662996</v>
      </c>
      <c r="W23" s="243">
        <v>8.7256707264791373</v>
      </c>
      <c r="X23" s="243">
        <v>3.7208066901118571</v>
      </c>
      <c r="Y23" s="243">
        <v>6.3666563923421933</v>
      </c>
      <c r="Z23" s="243">
        <v>6.6492146596858674</v>
      </c>
      <c r="AA23" s="243">
        <v>6.9860255831448512</v>
      </c>
      <c r="AB23" s="243">
        <v>6.9860255831448512</v>
      </c>
      <c r="AC23" s="243">
        <v>4.7200403545434995</v>
      </c>
      <c r="AD23" s="243">
        <v>7.4461241556770688</v>
      </c>
      <c r="AE23" s="243">
        <v>6.0767891941746086</v>
      </c>
      <c r="AF23" s="243">
        <v>2.5793823401479017</v>
      </c>
      <c r="AG23" s="243">
        <v>4.7011514083162353</v>
      </c>
      <c r="AH23" s="243">
        <v>4.3120254307753072</v>
      </c>
      <c r="AI23" s="243">
        <v>2.7567567567567437</v>
      </c>
      <c r="AJ23" s="243">
        <v>6.092102268416653</v>
      </c>
      <c r="AK23" s="243">
        <v>3.5912783240701174</v>
      </c>
    </row>
    <row r="24" spans="1:37" ht="15.6">
      <c r="A24" s="237">
        <v>1970</v>
      </c>
      <c r="B24" s="240">
        <v>174972</v>
      </c>
      <c r="C24" s="240">
        <v>1527.2539442064722</v>
      </c>
      <c r="D24" s="240">
        <v>9459</v>
      </c>
      <c r="E24" s="240">
        <v>292480</v>
      </c>
      <c r="F24" s="240">
        <v>49010.9496501209</v>
      </c>
      <c r="G24" s="240">
        <v>66308</v>
      </c>
      <c r="H24" s="240">
        <v>6515</v>
      </c>
      <c r="I24" s="240">
        <v>6906</v>
      </c>
      <c r="J24" s="240">
        <v>16899</v>
      </c>
      <c r="K24" s="240">
        <v>15364</v>
      </c>
      <c r="L24" s="240">
        <v>7481</v>
      </c>
      <c r="M24" s="240">
        <v>227970</v>
      </c>
      <c r="N24" s="240">
        <v>50848</v>
      </c>
      <c r="O24" s="240">
        <v>1931.2514459638105</v>
      </c>
      <c r="P24" s="240">
        <v>141.91143739860709</v>
      </c>
      <c r="Q24" s="240">
        <v>7873</v>
      </c>
      <c r="R24" s="240">
        <v>14638</v>
      </c>
      <c r="S24" s="240">
        <v>114807</v>
      </c>
      <c r="T24" s="243">
        <v>5.3540462427745581</v>
      </c>
      <c r="U24" s="243">
        <v>9.9999999999999858</v>
      </c>
      <c r="V24" s="243">
        <v>5.2286127489153529</v>
      </c>
      <c r="W24" s="243">
        <v>9.8343172156880314</v>
      </c>
      <c r="X24" s="243">
        <v>2.0562884185901851</v>
      </c>
      <c r="Y24" s="243">
        <v>6.7486637903277682</v>
      </c>
      <c r="Z24" s="243">
        <v>6.6110292914416675</v>
      </c>
      <c r="AA24" s="243">
        <v>3.7611949453578291</v>
      </c>
      <c r="AB24" s="243">
        <v>3.7611949453578291</v>
      </c>
      <c r="AC24" s="243">
        <v>5.7252958987062925</v>
      </c>
      <c r="AD24" s="243">
        <v>11.974255350995364</v>
      </c>
      <c r="AE24" s="243">
        <v>6.565883210859937</v>
      </c>
      <c r="AF24" s="243">
        <v>7.8064707628376482</v>
      </c>
      <c r="AG24" s="243">
        <v>5.5534257358763455</v>
      </c>
      <c r="AH24" s="243">
        <v>4.3120254307753072</v>
      </c>
      <c r="AI24" s="243">
        <v>3.53761178327197</v>
      </c>
      <c r="AJ24" s="243">
        <v>4.6767734553775853</v>
      </c>
      <c r="AK24" s="243">
        <v>7.686751960379695</v>
      </c>
    </row>
    <row r="25" spans="1:37" ht="15.6">
      <c r="A25" s="237">
        <v>1971</v>
      </c>
      <c r="B25" s="240">
        <v>183458</v>
      </c>
      <c r="C25" s="240">
        <v>1587.0111513263867</v>
      </c>
      <c r="D25" s="240">
        <v>9820</v>
      </c>
      <c r="E25" s="240">
        <v>322159</v>
      </c>
      <c r="F25" s="240">
        <v>53399.99508813033</v>
      </c>
      <c r="G25" s="240">
        <v>70250</v>
      </c>
      <c r="H25" s="240">
        <v>6945</v>
      </c>
      <c r="I25" s="240">
        <v>7637</v>
      </c>
      <c r="J25" s="240">
        <v>17872</v>
      </c>
      <c r="K25" s="240">
        <v>16221</v>
      </c>
      <c r="L25" s="240">
        <v>7481</v>
      </c>
      <c r="M25" s="240">
        <v>237480</v>
      </c>
      <c r="N25" s="240">
        <v>53131</v>
      </c>
      <c r="O25" s="240">
        <v>2038.207085361345</v>
      </c>
      <c r="P25" s="240">
        <v>149.08983697212136</v>
      </c>
      <c r="Q25" s="240">
        <v>7954</v>
      </c>
      <c r="R25" s="240">
        <v>14498</v>
      </c>
      <c r="S25" s="240">
        <v>116494</v>
      </c>
      <c r="T25" s="243">
        <v>4.8499188441579264</v>
      </c>
      <c r="U25" s="243">
        <v>3.9127223960755799</v>
      </c>
      <c r="V25" s="243">
        <v>3.8164710857384563</v>
      </c>
      <c r="W25" s="243">
        <v>10.147360503282272</v>
      </c>
      <c r="X25" s="243">
        <v>8.955234430962733</v>
      </c>
      <c r="Y25" s="243">
        <v>5.9449840139953096</v>
      </c>
      <c r="Z25" s="243">
        <v>6.6001534919416684</v>
      </c>
      <c r="AA25" s="243">
        <v>3.1220467831603429</v>
      </c>
      <c r="AB25" s="243">
        <v>3.1220467831603429</v>
      </c>
      <c r="AC25" s="243">
        <v>5.5779744858109837</v>
      </c>
      <c r="AD25" s="243">
        <v>0</v>
      </c>
      <c r="AE25" s="243">
        <v>4.1716015265166533</v>
      </c>
      <c r="AF25" s="243">
        <v>4.4898521082441789</v>
      </c>
      <c r="AG25" s="243">
        <v>5.5381519387889426</v>
      </c>
      <c r="AH25" s="243">
        <v>5.0583657703016911</v>
      </c>
      <c r="AI25" s="243">
        <v>1.0288327194208051</v>
      </c>
      <c r="AJ25" s="243">
        <v>-0.95641481076648915</v>
      </c>
      <c r="AK25" s="243">
        <v>1.4694225961831648</v>
      </c>
    </row>
    <row r="26" spans="1:37" ht="15.6">
      <c r="A26" s="237">
        <v>1972</v>
      </c>
      <c r="B26" s="240">
        <v>189183</v>
      </c>
      <c r="C26" s="240">
        <v>1607.226510882052</v>
      </c>
      <c r="D26" s="240">
        <v>10321</v>
      </c>
      <c r="E26" s="240">
        <v>356880</v>
      </c>
      <c r="F26" s="240">
        <v>52752.164209905968</v>
      </c>
      <c r="G26" s="240">
        <v>75637</v>
      </c>
      <c r="H26" s="240">
        <v>7556</v>
      </c>
      <c r="I26" s="240">
        <v>8581</v>
      </c>
      <c r="J26" s="240">
        <v>18972</v>
      </c>
      <c r="K26" s="240">
        <v>17412</v>
      </c>
      <c r="L26" s="240">
        <v>7706</v>
      </c>
      <c r="M26" s="240">
        <v>257636</v>
      </c>
      <c r="N26" s="240">
        <v>54837</v>
      </c>
      <c r="O26" s="240">
        <v>2173.3666603670904</v>
      </c>
      <c r="P26" s="240">
        <v>152.95512910415823</v>
      </c>
      <c r="Q26" s="240">
        <v>8414</v>
      </c>
      <c r="R26" s="240">
        <v>13992</v>
      </c>
      <c r="S26" s="240">
        <v>117982</v>
      </c>
      <c r="T26" s="243">
        <v>3.1206052611497057</v>
      </c>
      <c r="U26" s="243">
        <v>1.2738007252671082</v>
      </c>
      <c r="V26" s="243">
        <v>5.1018329938900138</v>
      </c>
      <c r="W26" s="243">
        <v>10.777597397558353</v>
      </c>
      <c r="X26" s="243">
        <v>-1.2131665502125912</v>
      </c>
      <c r="Y26" s="243">
        <v>7.6683274021352332</v>
      </c>
      <c r="Z26" s="243">
        <v>8.7976961843052663</v>
      </c>
      <c r="AA26" s="243">
        <v>1.3895008749378093</v>
      </c>
      <c r="AB26" s="243">
        <v>1.3895008749378093</v>
      </c>
      <c r="AC26" s="243">
        <v>7.3423340114666189</v>
      </c>
      <c r="AD26" s="243">
        <v>3.0076193022323281</v>
      </c>
      <c r="AE26" s="243">
        <v>8.4874515748694535</v>
      </c>
      <c r="AF26" s="243">
        <v>3.2109314712691202</v>
      </c>
      <c r="AG26" s="243">
        <v>6.6312974759276528</v>
      </c>
      <c r="AH26" s="243">
        <v>2.5925926344393559</v>
      </c>
      <c r="AI26" s="243">
        <v>5.7832537088257538</v>
      </c>
      <c r="AJ26" s="243">
        <v>-3.4901365705614467</v>
      </c>
      <c r="AK26" s="243">
        <v>1.2773190035538278</v>
      </c>
    </row>
    <row r="27" spans="1:37" ht="15.6">
      <c r="A27" s="237">
        <v>1973</v>
      </c>
      <c r="B27" s="240">
        <v>200720</v>
      </c>
      <c r="C27" s="240">
        <v>1628.7746043482571</v>
      </c>
      <c r="D27" s="240">
        <v>11030</v>
      </c>
      <c r="E27" s="240">
        <v>401643</v>
      </c>
      <c r="F27" s="240">
        <v>49816.496696285438</v>
      </c>
      <c r="G27" s="240">
        <v>80728</v>
      </c>
      <c r="H27" s="240">
        <v>8145</v>
      </c>
      <c r="I27" s="240">
        <v>9617</v>
      </c>
      <c r="J27" s="240">
        <v>21337</v>
      </c>
      <c r="K27" s="240">
        <v>18593</v>
      </c>
      <c r="L27" s="240">
        <v>8411</v>
      </c>
      <c r="M27" s="240">
        <v>279302</v>
      </c>
      <c r="N27" s="240">
        <v>57729</v>
      </c>
      <c r="O27" s="240">
        <v>2332.0835613639747</v>
      </c>
      <c r="P27" s="240">
        <v>155.16386739847653</v>
      </c>
      <c r="Q27" s="240">
        <v>8553</v>
      </c>
      <c r="R27" s="240">
        <v>14098</v>
      </c>
      <c r="S27" s="240">
        <v>126364</v>
      </c>
      <c r="T27" s="243">
        <v>6.0983280738755639</v>
      </c>
      <c r="U27" s="243">
        <v>1.3407004750300757</v>
      </c>
      <c r="V27" s="243">
        <v>6.8694893905629328</v>
      </c>
      <c r="W27" s="243">
        <v>12.542871553463343</v>
      </c>
      <c r="X27" s="243">
        <v>-5.5650181515571973</v>
      </c>
      <c r="Y27" s="243">
        <v>6.7308327934740788</v>
      </c>
      <c r="Z27" s="243">
        <v>7.7951296982530494</v>
      </c>
      <c r="AA27" s="243">
        <v>4.2884996921912233</v>
      </c>
      <c r="AB27" s="243">
        <v>4.2884996921912233</v>
      </c>
      <c r="AC27" s="243">
        <v>6.7826786124511926</v>
      </c>
      <c r="AD27" s="243">
        <v>9.1487152867895105</v>
      </c>
      <c r="AE27" s="243">
        <v>8.4095390395752219</v>
      </c>
      <c r="AF27" s="243">
        <v>5.2738114776519609</v>
      </c>
      <c r="AG27" s="243">
        <v>7.3028129073295247</v>
      </c>
      <c r="AH27" s="243">
        <v>1.4440433003159967</v>
      </c>
      <c r="AI27" s="243">
        <v>1.6520085571666243</v>
      </c>
      <c r="AJ27" s="243">
        <v>0.75757575757575069</v>
      </c>
      <c r="AK27" s="243">
        <v>7.1044735637639604</v>
      </c>
    </row>
    <row r="28" spans="1:37" ht="15.6">
      <c r="A28" s="237">
        <v>1974</v>
      </c>
      <c r="B28" s="240">
        <v>213739</v>
      </c>
      <c r="C28" s="240">
        <v>1553.0228831461129</v>
      </c>
      <c r="D28" s="240">
        <v>11598</v>
      </c>
      <c r="E28" s="240">
        <v>433322</v>
      </c>
      <c r="F28" s="240">
        <v>50301.963491086855</v>
      </c>
      <c r="G28" s="240">
        <v>85370</v>
      </c>
      <c r="H28" s="240">
        <v>8583</v>
      </c>
      <c r="I28" s="240">
        <v>10171</v>
      </c>
      <c r="J28" s="240">
        <v>22585</v>
      </c>
      <c r="K28" s="240">
        <v>19779</v>
      </c>
      <c r="L28" s="240">
        <v>8095</v>
      </c>
      <c r="M28" s="240">
        <v>296370</v>
      </c>
      <c r="N28" s="240">
        <v>60773</v>
      </c>
      <c r="O28" s="240">
        <v>2527.5477382965282</v>
      </c>
      <c r="P28" s="240">
        <v>163.99882057574968</v>
      </c>
      <c r="Q28" s="240">
        <v>9011</v>
      </c>
      <c r="R28" s="240">
        <v>14541</v>
      </c>
      <c r="S28" s="240">
        <v>129038</v>
      </c>
      <c r="T28" s="243">
        <v>6.486149860502195</v>
      </c>
      <c r="U28" s="243">
        <v>-4.6508412520623494</v>
      </c>
      <c r="V28" s="243">
        <v>5.1495920217588491</v>
      </c>
      <c r="W28" s="243">
        <v>7.8873526987897264</v>
      </c>
      <c r="X28" s="243">
        <v>0.97451010608222077</v>
      </c>
      <c r="Y28" s="243">
        <v>5.7501734218610636</v>
      </c>
      <c r="Z28" s="243">
        <v>5.3775322283609484</v>
      </c>
      <c r="AA28" s="243">
        <v>4.6735863273456459</v>
      </c>
      <c r="AB28" s="243">
        <v>4.6735863273456459</v>
      </c>
      <c r="AC28" s="243">
        <v>6.3787446888613886</v>
      </c>
      <c r="AD28" s="243">
        <v>-3.7569849007252287</v>
      </c>
      <c r="AE28" s="243">
        <v>6.1109480061009265</v>
      </c>
      <c r="AF28" s="243">
        <v>5.2729130939389108</v>
      </c>
      <c r="AG28" s="243">
        <v>8.3815254380607058</v>
      </c>
      <c r="AH28" s="243">
        <v>5.693950096373996</v>
      </c>
      <c r="AI28" s="243">
        <v>5.3548462527767953</v>
      </c>
      <c r="AJ28" s="243">
        <v>3.1422896864803533</v>
      </c>
      <c r="AK28" s="243">
        <v>2.1161090183913274</v>
      </c>
    </row>
    <row r="29" spans="1:37" ht="15.6">
      <c r="A29" s="237">
        <v>1975</v>
      </c>
      <c r="B29" s="240">
        <v>211850</v>
      </c>
      <c r="C29" s="240">
        <v>1523.5154468123392</v>
      </c>
      <c r="D29" s="240">
        <v>12364</v>
      </c>
      <c r="E29" s="240">
        <v>455918</v>
      </c>
      <c r="F29" s="240">
        <v>43807.839128835047</v>
      </c>
      <c r="G29" s="240">
        <v>87347</v>
      </c>
      <c r="H29" s="240">
        <v>8755</v>
      </c>
      <c r="I29" s="240">
        <v>10659</v>
      </c>
      <c r="J29" s="240">
        <v>23772</v>
      </c>
      <c r="K29" s="240">
        <v>20164</v>
      </c>
      <c r="L29" s="240">
        <v>8093</v>
      </c>
      <c r="M29" s="240">
        <v>312998</v>
      </c>
      <c r="N29" s="240">
        <v>65587</v>
      </c>
      <c r="O29" s="240">
        <v>2700.7465497037288</v>
      </c>
      <c r="P29" s="240">
        <v>171.17722014926395</v>
      </c>
      <c r="Q29" s="240">
        <v>9181</v>
      </c>
      <c r="R29" s="240">
        <v>15406</v>
      </c>
      <c r="S29" s="240">
        <v>132728</v>
      </c>
      <c r="T29" s="243">
        <v>-0.88378817155502531</v>
      </c>
      <c r="U29" s="243">
        <v>-1.9000001000627549</v>
      </c>
      <c r="V29" s="243">
        <v>6.6045869977582328</v>
      </c>
      <c r="W29" s="243">
        <v>5.214597920253297</v>
      </c>
      <c r="X29" s="243">
        <v>-12.910280059748601</v>
      </c>
      <c r="Y29" s="243">
        <v>2.3158018039123789</v>
      </c>
      <c r="Z29" s="243">
        <v>2.0039613188861551</v>
      </c>
      <c r="AA29" s="243">
        <v>-2.5388069929434494</v>
      </c>
      <c r="AB29" s="243">
        <v>-2.5388069929434494</v>
      </c>
      <c r="AC29" s="243">
        <v>1.9465089236058333</v>
      </c>
      <c r="AD29" s="243">
        <v>-2.4706609017911774E-2</v>
      </c>
      <c r="AE29" s="243">
        <v>5.6105543745993174</v>
      </c>
      <c r="AF29" s="243">
        <v>7.9212808319484083</v>
      </c>
      <c r="AG29" s="243">
        <v>6.8524447148100194</v>
      </c>
      <c r="AH29" s="243">
        <v>4.3771043891127448</v>
      </c>
      <c r="AI29" s="243">
        <v>1.8865830651426023</v>
      </c>
      <c r="AJ29" s="243">
        <v>5.9486967883914446</v>
      </c>
      <c r="AK29" s="243">
        <v>2.8596227467877782</v>
      </c>
    </row>
    <row r="30" spans="1:37" ht="15.6">
      <c r="A30" s="237">
        <v>1976</v>
      </c>
      <c r="B30" s="240">
        <v>211327</v>
      </c>
      <c r="C30" s="240">
        <v>1590.55012816056</v>
      </c>
      <c r="D30" s="240">
        <v>13118</v>
      </c>
      <c r="E30" s="240">
        <v>498823</v>
      </c>
      <c r="F30" s="240">
        <v>45349.100920938799</v>
      </c>
      <c r="G30" s="240">
        <v>91488</v>
      </c>
      <c r="H30" s="240">
        <v>9231</v>
      </c>
      <c r="I30" s="240">
        <v>11377</v>
      </c>
      <c r="J30" s="240">
        <v>26075</v>
      </c>
      <c r="K30" s="240">
        <v>21654</v>
      </c>
      <c r="L30" s="240">
        <v>7603</v>
      </c>
      <c r="M30" s="240">
        <v>326267</v>
      </c>
      <c r="N30" s="240">
        <v>66507</v>
      </c>
      <c r="O30" s="240">
        <v>2904.0033719864864</v>
      </c>
      <c r="P30" s="240">
        <v>203.20392588479842</v>
      </c>
      <c r="Q30" s="240">
        <v>10059</v>
      </c>
      <c r="R30" s="240">
        <v>16026</v>
      </c>
      <c r="S30" s="240">
        <v>142978</v>
      </c>
      <c r="T30" s="243">
        <v>-0.24687278734954532</v>
      </c>
      <c r="U30" s="243">
        <v>4.4000001108277473</v>
      </c>
      <c r="V30" s="243">
        <v>6.0983500485279905</v>
      </c>
      <c r="W30" s="243">
        <v>9.410683500103076</v>
      </c>
      <c r="X30" s="243">
        <v>3.5182328614087481</v>
      </c>
      <c r="Y30" s="243">
        <v>4.7408611629477804</v>
      </c>
      <c r="Z30" s="243">
        <v>5.4368932038834998</v>
      </c>
      <c r="AA30" s="243">
        <v>-1.9365408082427962</v>
      </c>
      <c r="AB30" s="243">
        <v>-1.9365408082427962</v>
      </c>
      <c r="AC30" s="243">
        <v>7.389406863717511</v>
      </c>
      <c r="AD30" s="243">
        <v>-6.0546150994686769</v>
      </c>
      <c r="AE30" s="243">
        <v>4.2393242129342639</v>
      </c>
      <c r="AF30" s="243">
        <v>1.4027170018448913</v>
      </c>
      <c r="AG30" s="243">
        <v>7.5259495306975452</v>
      </c>
      <c r="AH30" s="243">
        <v>18.709677436990546</v>
      </c>
      <c r="AI30" s="243">
        <v>9.5632284064916604</v>
      </c>
      <c r="AJ30" s="243">
        <v>4.0244060755549924</v>
      </c>
      <c r="AK30" s="243">
        <v>7.7225604243264456</v>
      </c>
    </row>
    <row r="31" spans="1:37" ht="15.6">
      <c r="A31" s="237">
        <v>1977</v>
      </c>
      <c r="B31" s="240">
        <v>224084</v>
      </c>
      <c r="C31" s="240">
        <v>1647.8099326473307</v>
      </c>
      <c r="D31" s="240">
        <v>13670</v>
      </c>
      <c r="E31" s="240">
        <v>522154</v>
      </c>
      <c r="F31" s="240">
        <v>49819.922451947321</v>
      </c>
      <c r="G31" s="240">
        <v>95283</v>
      </c>
      <c r="H31" s="240">
        <v>10055</v>
      </c>
      <c r="I31" s="240">
        <v>11930</v>
      </c>
      <c r="J31" s="240">
        <v>27731</v>
      </c>
      <c r="K31" s="240">
        <v>23344</v>
      </c>
      <c r="L31" s="240">
        <v>7443</v>
      </c>
      <c r="M31" s="240">
        <v>337499</v>
      </c>
      <c r="N31" s="240">
        <v>66470</v>
      </c>
      <c r="O31" s="240">
        <v>3237.7918892949338</v>
      </c>
      <c r="P31" s="240">
        <v>221.97820162046352</v>
      </c>
      <c r="Q31" s="240">
        <v>10698</v>
      </c>
      <c r="R31" s="240">
        <v>16205</v>
      </c>
      <c r="S31" s="240">
        <v>151927</v>
      </c>
      <c r="T31" s="243">
        <v>6.0366162392879232</v>
      </c>
      <c r="U31" s="243">
        <v>3.5999999920147445</v>
      </c>
      <c r="V31" s="243">
        <v>4.2079585302637668</v>
      </c>
      <c r="W31" s="243">
        <v>4.6772101526994589</v>
      </c>
      <c r="X31" s="243">
        <v>9.8586773281413116</v>
      </c>
      <c r="Y31" s="243">
        <v>4.148084994753404</v>
      </c>
      <c r="Z31" s="243">
        <v>8.9264435055790301</v>
      </c>
      <c r="AA31" s="243">
        <v>4.2582674221424384</v>
      </c>
      <c r="AB31" s="243">
        <v>4.2582674221424384</v>
      </c>
      <c r="AC31" s="243">
        <v>7.8045626674055626</v>
      </c>
      <c r="AD31" s="243">
        <v>-2.1044324608707115</v>
      </c>
      <c r="AE31" s="243">
        <v>3.4425792372504702</v>
      </c>
      <c r="AF31" s="243">
        <v>-5.5633241613662676E-2</v>
      </c>
      <c r="AG31" s="243">
        <v>11.494081602257893</v>
      </c>
      <c r="AH31" s="243">
        <v>9.2391304222678912</v>
      </c>
      <c r="AI31" s="243">
        <v>6.3525201312257593</v>
      </c>
      <c r="AJ31" s="243">
        <v>1.1169349806564384</v>
      </c>
      <c r="AK31" s="243">
        <v>6.2590048818699415</v>
      </c>
    </row>
    <row r="32" spans="1:37" ht="15.6">
      <c r="A32" s="237">
        <v>1978</v>
      </c>
      <c r="B32" s="240">
        <v>214233</v>
      </c>
      <c r="C32" s="240">
        <v>1728.5526189492118</v>
      </c>
      <c r="D32" s="240">
        <v>14128</v>
      </c>
      <c r="E32" s="240">
        <v>548342</v>
      </c>
      <c r="F32" s="240">
        <v>53913.821925590855</v>
      </c>
      <c r="G32" s="240">
        <v>103366</v>
      </c>
      <c r="H32" s="240">
        <v>10677</v>
      </c>
      <c r="I32" s="240">
        <v>12207</v>
      </c>
      <c r="J32" s="240">
        <v>29664</v>
      </c>
      <c r="K32" s="240">
        <v>24511</v>
      </c>
      <c r="L32" s="240">
        <v>7496</v>
      </c>
      <c r="M32" s="240">
        <v>365340</v>
      </c>
      <c r="N32" s="240">
        <v>66463</v>
      </c>
      <c r="O32" s="240">
        <v>3627.2571318477662</v>
      </c>
      <c r="P32" s="240">
        <v>238.69161002156432</v>
      </c>
      <c r="Q32" s="240">
        <v>11947</v>
      </c>
      <c r="R32" s="240">
        <v>17058</v>
      </c>
      <c r="S32" s="240">
        <v>155528</v>
      </c>
      <c r="T32" s="243">
        <v>-4.3961193124006996</v>
      </c>
      <c r="U32" s="243">
        <v>4.8999999758565451</v>
      </c>
      <c r="V32" s="243">
        <v>3.3504023408924581</v>
      </c>
      <c r="W32" s="243">
        <v>5.0153786047794284</v>
      </c>
      <c r="X32" s="243">
        <v>8.2173943116676185</v>
      </c>
      <c r="Y32" s="243">
        <v>8.4831501946831906</v>
      </c>
      <c r="Z32" s="243">
        <v>6.1859771258080656</v>
      </c>
      <c r="AA32" s="243">
        <v>-5.9864030281222682</v>
      </c>
      <c r="AB32" s="243">
        <v>-5.9864030281222682</v>
      </c>
      <c r="AC32" s="243">
        <v>4.9991432488005501</v>
      </c>
      <c r="AD32" s="243">
        <v>0.71207846298536026</v>
      </c>
      <c r="AE32" s="243">
        <v>8.2492096272877973</v>
      </c>
      <c r="AF32" s="243">
        <v>-1.0531066646606746E-2</v>
      </c>
      <c r="AG32" s="243">
        <v>12.028729945260409</v>
      </c>
      <c r="AH32" s="243">
        <v>7.5293016517348264</v>
      </c>
      <c r="AI32" s="243">
        <v>11.675079454103582</v>
      </c>
      <c r="AJ32" s="243">
        <v>5.26380746683121</v>
      </c>
      <c r="AK32" s="243">
        <v>2.3702172754020125</v>
      </c>
    </row>
    <row r="33" spans="1:37" ht="15.6">
      <c r="A33" s="237">
        <v>1979</v>
      </c>
      <c r="B33" s="240">
        <v>229547</v>
      </c>
      <c r="C33" s="240">
        <v>1865.1082746919083</v>
      </c>
      <c r="D33" s="240">
        <v>14125</v>
      </c>
      <c r="E33" s="240">
        <v>587289</v>
      </c>
      <c r="F33" s="240">
        <v>58378.780745024516</v>
      </c>
      <c r="G33" s="240">
        <v>108906</v>
      </c>
      <c r="H33" s="240">
        <v>11207</v>
      </c>
      <c r="I33" s="240">
        <v>12733</v>
      </c>
      <c r="J33" s="240">
        <v>31274</v>
      </c>
      <c r="K33" s="240">
        <v>25667</v>
      </c>
      <c r="L33" s="240">
        <v>7363</v>
      </c>
      <c r="M33" s="240">
        <v>398788</v>
      </c>
      <c r="N33" s="240">
        <v>70441</v>
      </c>
      <c r="O33" s="240">
        <v>4057.5277038986392</v>
      </c>
      <c r="P33" s="240">
        <v>245.20192617695943</v>
      </c>
      <c r="Q33" s="240">
        <v>12500</v>
      </c>
      <c r="R33" s="240">
        <v>18110</v>
      </c>
      <c r="S33" s="240">
        <v>156752</v>
      </c>
      <c r="T33" s="243">
        <v>7.1482918131193571</v>
      </c>
      <c r="U33" s="243">
        <v>7.8999999332221051</v>
      </c>
      <c r="V33" s="243">
        <v>-2.1234428086074786E-2</v>
      </c>
      <c r="W33" s="243">
        <v>7.1026840913152682</v>
      </c>
      <c r="X33" s="243">
        <v>8.2816588770055546</v>
      </c>
      <c r="Y33" s="243">
        <v>5.3595959986842985</v>
      </c>
      <c r="Z33" s="243">
        <v>4.9639411819799619</v>
      </c>
      <c r="AA33" s="243">
        <v>5.3752894979128314</v>
      </c>
      <c r="AB33" s="243">
        <v>5.3752894979128314</v>
      </c>
      <c r="AC33" s="243">
        <v>4.7162498470074752</v>
      </c>
      <c r="AD33" s="243">
        <v>-1.7742796157950949</v>
      </c>
      <c r="AE33" s="243">
        <v>9.1553073849017323</v>
      </c>
      <c r="AF33" s="243">
        <v>5.985285045814976</v>
      </c>
      <c r="AG33" s="243">
        <v>11.862146972516612</v>
      </c>
      <c r="AH33" s="243">
        <v>2.7275010440488217</v>
      </c>
      <c r="AI33" s="243">
        <v>4.628777098853277</v>
      </c>
      <c r="AJ33" s="243">
        <v>6.1671942783444678</v>
      </c>
      <c r="AK33" s="243">
        <v>0.78699655367522325</v>
      </c>
    </row>
    <row r="34" spans="1:37" ht="15.6">
      <c r="A34" s="237">
        <v>1980</v>
      </c>
      <c r="B34" s="240">
        <v>232802</v>
      </c>
      <c r="C34" s="240">
        <v>1947.173039189265</v>
      </c>
      <c r="D34" s="240">
        <v>13995</v>
      </c>
      <c r="E34" s="240">
        <v>639093</v>
      </c>
      <c r="F34" s="240">
        <v>63016.920614822826</v>
      </c>
      <c r="G34" s="240">
        <v>113375</v>
      </c>
      <c r="H34" s="240">
        <v>11290</v>
      </c>
      <c r="I34" s="240">
        <v>13511</v>
      </c>
      <c r="J34" s="240">
        <v>32706</v>
      </c>
      <c r="K34" s="240">
        <v>26632</v>
      </c>
      <c r="L34" s="240">
        <v>6957</v>
      </c>
      <c r="M34" s="240">
        <v>431983</v>
      </c>
      <c r="N34" s="240">
        <v>73727</v>
      </c>
      <c r="O34" s="240">
        <v>4532.7512702539971</v>
      </c>
      <c r="P34" s="240">
        <v>231.39398107004786</v>
      </c>
      <c r="Q34" s="240">
        <v>13501</v>
      </c>
      <c r="R34" s="240">
        <v>19205</v>
      </c>
      <c r="S34" s="240">
        <v>149735</v>
      </c>
      <c r="T34" s="243">
        <v>1.4180102549804445</v>
      </c>
      <c r="U34" s="243">
        <v>4.4000000220315769</v>
      </c>
      <c r="V34" s="243">
        <v>-0.92035398230088106</v>
      </c>
      <c r="W34" s="243">
        <v>8.8208701337842115</v>
      </c>
      <c r="X34" s="243">
        <v>7.9449070545955465</v>
      </c>
      <c r="Y34" s="243">
        <v>4.1035388316529691</v>
      </c>
      <c r="Z34" s="243">
        <v>0.74060854822879207</v>
      </c>
      <c r="AA34" s="243">
        <v>-0.25440853450643885</v>
      </c>
      <c r="AB34" s="243">
        <v>-0.25440853450643885</v>
      </c>
      <c r="AC34" s="243">
        <v>3.7596914325787907</v>
      </c>
      <c r="AD34" s="243">
        <v>-5.5140567703381862</v>
      </c>
      <c r="AE34" s="243">
        <v>8.3239716340511904</v>
      </c>
      <c r="AF34" s="243">
        <v>4.6648968640422623</v>
      </c>
      <c r="AG34" s="243">
        <v>11.712145942928331</v>
      </c>
      <c r="AH34" s="243">
        <v>-5.6312547467292546</v>
      </c>
      <c r="AI34" s="243">
        <v>8.0079999999999956</v>
      </c>
      <c r="AJ34" s="243">
        <v>6.0463832136940852</v>
      </c>
      <c r="AK34" s="243">
        <v>-4.4764979075227131</v>
      </c>
    </row>
    <row r="35" spans="1:37" ht="15.6">
      <c r="A35" s="237">
        <v>1981</v>
      </c>
      <c r="B35" s="240">
        <v>219434</v>
      </c>
      <c r="C35" s="240">
        <v>1910.1767513662219</v>
      </c>
      <c r="D35" s="240">
        <v>14124</v>
      </c>
      <c r="E35" s="240">
        <v>611007</v>
      </c>
      <c r="F35" s="240">
        <v>66931.658287707614</v>
      </c>
      <c r="G35" s="240">
        <v>115789</v>
      </c>
      <c r="H35" s="240">
        <v>11035</v>
      </c>
      <c r="I35" s="240">
        <v>14069</v>
      </c>
      <c r="J35" s="240">
        <v>34041</v>
      </c>
      <c r="K35" s="240">
        <v>26804</v>
      </c>
      <c r="L35" s="240">
        <v>7142</v>
      </c>
      <c r="M35" s="240">
        <v>469972</v>
      </c>
      <c r="N35" s="240">
        <v>77098</v>
      </c>
      <c r="O35" s="240">
        <v>4948.4253602489898</v>
      </c>
      <c r="P35" s="240">
        <v>237.29682762126976</v>
      </c>
      <c r="Q35" s="240">
        <v>14096</v>
      </c>
      <c r="R35" s="240">
        <v>19575</v>
      </c>
      <c r="S35" s="240">
        <v>149253</v>
      </c>
      <c r="T35" s="243">
        <v>-5.7422187094612553</v>
      </c>
      <c r="U35" s="243">
        <v>-1.9000000040287688</v>
      </c>
      <c r="V35" s="243">
        <v>0.92175777063236808</v>
      </c>
      <c r="W35" s="243">
        <v>-4.3946655651055551</v>
      </c>
      <c r="X35" s="243">
        <v>6.2122008417592696</v>
      </c>
      <c r="Y35" s="243">
        <v>2.1292171995589797</v>
      </c>
      <c r="Z35" s="243">
        <v>-2.2586359610274513</v>
      </c>
      <c r="AA35" s="243">
        <v>-7.3046897740382519</v>
      </c>
      <c r="AB35" s="243">
        <v>-7.3046897740382519</v>
      </c>
      <c r="AC35" s="243">
        <v>0.64583959146891345</v>
      </c>
      <c r="AD35" s="243">
        <v>2.6591921805375875</v>
      </c>
      <c r="AE35" s="243">
        <v>8.7940960639654833</v>
      </c>
      <c r="AF35" s="243">
        <v>4.5722733869545777</v>
      </c>
      <c r="AG35" s="243">
        <v>9.1704588496359207</v>
      </c>
      <c r="AH35" s="243">
        <v>2.5509939903903387</v>
      </c>
      <c r="AI35" s="243">
        <v>4.4070809569661549</v>
      </c>
      <c r="AJ35" s="243">
        <v>1.926581619369955</v>
      </c>
      <c r="AK35" s="243">
        <v>-0.32190202691421632</v>
      </c>
    </row>
    <row r="36" spans="1:37" ht="15.6">
      <c r="A36" s="237">
        <v>1982</v>
      </c>
      <c r="B36" s="240">
        <v>212518</v>
      </c>
      <c r="C36" s="240">
        <v>1816.5780914607562</v>
      </c>
      <c r="D36" s="240">
        <v>13508</v>
      </c>
      <c r="E36" s="240">
        <v>614538</v>
      </c>
      <c r="F36" s="240">
        <v>57837.013597446043</v>
      </c>
      <c r="G36" s="240">
        <v>116938</v>
      </c>
      <c r="H36" s="240">
        <v>10266</v>
      </c>
      <c r="I36" s="240">
        <v>14324</v>
      </c>
      <c r="J36" s="240">
        <v>34421</v>
      </c>
      <c r="K36" s="240">
        <v>25858</v>
      </c>
      <c r="L36" s="240">
        <v>7237</v>
      </c>
      <c r="M36" s="240">
        <v>466649</v>
      </c>
      <c r="N36" s="240">
        <v>77183</v>
      </c>
      <c r="O36" s="240">
        <v>4879.2652906805133</v>
      </c>
      <c r="P36" s="240">
        <v>244.3107041526163</v>
      </c>
      <c r="Q36" s="240">
        <v>13271</v>
      </c>
      <c r="R36" s="240">
        <v>17724</v>
      </c>
      <c r="S36" s="240">
        <v>146150</v>
      </c>
      <c r="T36" s="243">
        <v>-3.1517449438099874</v>
      </c>
      <c r="U36" s="243">
        <v>-4.8999999522829825</v>
      </c>
      <c r="V36" s="243">
        <v>-4.3613707165109048</v>
      </c>
      <c r="W36" s="243">
        <v>0.57789845288186825</v>
      </c>
      <c r="X36" s="243">
        <v>-13.587956615639172</v>
      </c>
      <c r="Y36" s="243">
        <v>0.99232224131826285</v>
      </c>
      <c r="Z36" s="243">
        <v>-6.9687358405074775</v>
      </c>
      <c r="AA36" s="243">
        <v>-4.7433187227763653</v>
      </c>
      <c r="AB36" s="243">
        <v>-4.7433187227763653</v>
      </c>
      <c r="AC36" s="243">
        <v>-3.5293239814953097</v>
      </c>
      <c r="AD36" s="243">
        <v>1.3301596191543013</v>
      </c>
      <c r="AE36" s="243">
        <v>-0.70706339952167241</v>
      </c>
      <c r="AF36" s="243">
        <v>0.11024929310747211</v>
      </c>
      <c r="AG36" s="243">
        <v>-1.3976177174267121</v>
      </c>
      <c r="AH36" s="243">
        <v>2.9557396959982896</v>
      </c>
      <c r="AI36" s="243">
        <v>-5.8527241770715079</v>
      </c>
      <c r="AJ36" s="243">
        <v>-9.4559386973180182</v>
      </c>
      <c r="AK36" s="243">
        <v>-2.0790201871989211</v>
      </c>
    </row>
    <row r="37" spans="1:37" ht="15.6">
      <c r="A37" s="237">
        <v>1983</v>
      </c>
      <c r="B37" s="240">
        <v>220016</v>
      </c>
      <c r="C37" s="240">
        <v>1825.6609818900429</v>
      </c>
      <c r="D37" s="240">
        <v>12905</v>
      </c>
      <c r="E37" s="240">
        <v>593575</v>
      </c>
      <c r="F37" s="240">
        <v>56216.399606403909</v>
      </c>
      <c r="G37" s="240">
        <v>118806</v>
      </c>
      <c r="H37" s="240">
        <v>10551</v>
      </c>
      <c r="I37" s="240">
        <v>14959</v>
      </c>
      <c r="J37" s="240">
        <v>33702</v>
      </c>
      <c r="K37" s="240">
        <v>25193</v>
      </c>
      <c r="L37" s="240">
        <v>7405</v>
      </c>
      <c r="M37" s="240">
        <v>446602</v>
      </c>
      <c r="N37" s="240">
        <v>66818</v>
      </c>
      <c r="O37" s="240">
        <v>4730.807892269695</v>
      </c>
      <c r="P37" s="240">
        <v>257.94280280131875</v>
      </c>
      <c r="Q37" s="240">
        <v>12231</v>
      </c>
      <c r="R37" s="240">
        <v>16688</v>
      </c>
      <c r="S37" s="240">
        <v>140665</v>
      </c>
      <c r="T37" s="243">
        <v>3.5281717313357035</v>
      </c>
      <c r="U37" s="243">
        <v>0.49999999845769594</v>
      </c>
      <c r="V37" s="243">
        <v>-4.4640213206988477</v>
      </c>
      <c r="W37" s="243">
        <v>-3.4111804314786127</v>
      </c>
      <c r="X37" s="243">
        <v>-2.8020360842311902</v>
      </c>
      <c r="Y37" s="243">
        <v>1.5974276967281753</v>
      </c>
      <c r="Z37" s="243">
        <v>2.7761542957334768</v>
      </c>
      <c r="AA37" s="243">
        <v>1.9500831614315075</v>
      </c>
      <c r="AB37" s="243">
        <v>1.9500831614315075</v>
      </c>
      <c r="AC37" s="243">
        <v>-2.5717379534380029</v>
      </c>
      <c r="AD37" s="243">
        <v>2.3214038966422663</v>
      </c>
      <c r="AE37" s="243">
        <v>-4.2959483466159725</v>
      </c>
      <c r="AF37" s="243">
        <v>-13.429122993405286</v>
      </c>
      <c r="AG37" s="243">
        <v>-3.042617885409399</v>
      </c>
      <c r="AH37" s="243">
        <v>5.5798204568993128</v>
      </c>
      <c r="AI37" s="243">
        <v>-7.8366362745836682</v>
      </c>
      <c r="AJ37" s="243">
        <v>-5.845181674565552</v>
      </c>
      <c r="AK37" s="243">
        <v>-3.752993499828932</v>
      </c>
    </row>
    <row r="38" spans="1:37" ht="15.6">
      <c r="A38" s="237">
        <v>1984</v>
      </c>
      <c r="B38" s="240">
        <v>224491</v>
      </c>
      <c r="C38" s="240">
        <v>1891.3847768122296</v>
      </c>
      <c r="D38" s="240">
        <v>13034</v>
      </c>
      <c r="E38" s="240">
        <v>625438</v>
      </c>
      <c r="F38" s="240">
        <v>59525.040071002673</v>
      </c>
      <c r="G38" s="240">
        <v>123037</v>
      </c>
      <c r="H38" s="240">
        <v>11379</v>
      </c>
      <c r="I38" s="240">
        <v>14999</v>
      </c>
      <c r="J38" s="240">
        <v>35081</v>
      </c>
      <c r="K38" s="240">
        <v>25321</v>
      </c>
      <c r="L38" s="240">
        <v>7343</v>
      </c>
      <c r="M38" s="240">
        <v>462678</v>
      </c>
      <c r="N38" s="240">
        <v>69878</v>
      </c>
      <c r="O38" s="240">
        <v>4864.055801187822</v>
      </c>
      <c r="P38" s="240">
        <v>275.66333172036269</v>
      </c>
      <c r="Q38" s="240">
        <v>12967</v>
      </c>
      <c r="R38" s="240">
        <v>16505</v>
      </c>
      <c r="S38" s="240">
        <v>142664</v>
      </c>
      <c r="T38" s="243">
        <v>2.0339429859646714</v>
      </c>
      <c r="U38" s="243">
        <v>3.5999999766739279</v>
      </c>
      <c r="V38" s="243">
        <v>0.99961255327391996</v>
      </c>
      <c r="W38" s="243">
        <v>5.3679821421050349</v>
      </c>
      <c r="X38" s="243">
        <v>5.8855431649198948</v>
      </c>
      <c r="Y38" s="243">
        <v>3.5612679494301744</v>
      </c>
      <c r="Z38" s="243">
        <v>7.8475973841342039</v>
      </c>
      <c r="AA38" s="243">
        <v>0.52525413959085654</v>
      </c>
      <c r="AB38" s="243">
        <v>0.52525413959085654</v>
      </c>
      <c r="AC38" s="243">
        <v>0.50807764061444516</v>
      </c>
      <c r="AD38" s="243">
        <v>-0.83727211343686747</v>
      </c>
      <c r="AE38" s="243">
        <v>3.5996256174401395</v>
      </c>
      <c r="AF38" s="243">
        <v>4.5796042982429839</v>
      </c>
      <c r="AG38" s="243">
        <v>2.8165994467004083</v>
      </c>
      <c r="AH38" s="243">
        <v>6.8699450911577742</v>
      </c>
      <c r="AI38" s="243">
        <v>6.0174965252227821</v>
      </c>
      <c r="AJ38" s="243">
        <v>-1.0965963566634684</v>
      </c>
      <c r="AK38" s="243">
        <v>1.4211068851526676</v>
      </c>
    </row>
    <row r="39" spans="1:37" ht="15.6">
      <c r="A39" s="237">
        <v>1985</v>
      </c>
      <c r="B39" s="240">
        <v>209641</v>
      </c>
      <c r="C39" s="240">
        <v>1912.1900091106163</v>
      </c>
      <c r="D39" s="240">
        <v>12943</v>
      </c>
      <c r="E39" s="240">
        <v>675090</v>
      </c>
      <c r="F39" s="240">
        <v>60696.659684455008</v>
      </c>
      <c r="G39" s="240">
        <v>127076</v>
      </c>
      <c r="H39" s="240">
        <v>11475</v>
      </c>
      <c r="I39" s="240">
        <v>14620</v>
      </c>
      <c r="J39" s="240">
        <v>36570</v>
      </c>
      <c r="K39" s="240">
        <v>25167</v>
      </c>
      <c r="L39" s="240">
        <v>7003</v>
      </c>
      <c r="M39" s="240">
        <v>475505</v>
      </c>
      <c r="N39" s="240">
        <v>71239</v>
      </c>
      <c r="O39" s="240">
        <v>5084.0636445513974</v>
      </c>
      <c r="P39" s="240">
        <v>296.36126139754276</v>
      </c>
      <c r="Q39" s="240">
        <v>12436</v>
      </c>
      <c r="R39" s="240">
        <v>16746</v>
      </c>
      <c r="S39" s="240">
        <v>144843</v>
      </c>
      <c r="T39" s="243">
        <v>-6.6149645197357501</v>
      </c>
      <c r="U39" s="243">
        <v>1.0999999869646899</v>
      </c>
      <c r="V39" s="243">
        <v>-0.69817400644468819</v>
      </c>
      <c r="W39" s="243">
        <v>7.9387565194311946</v>
      </c>
      <c r="X39" s="243">
        <v>1.9682802599625404</v>
      </c>
      <c r="Y39" s="243">
        <v>3.2827523427911842</v>
      </c>
      <c r="Z39" s="243">
        <v>0.8436593725283501</v>
      </c>
      <c r="AA39" s="243">
        <v>-7.9576484218874413</v>
      </c>
      <c r="AB39" s="243">
        <v>-7.9576484218874413</v>
      </c>
      <c r="AC39" s="243">
        <v>-0.60819082974606431</v>
      </c>
      <c r="AD39" s="243">
        <v>-4.6302601116709781</v>
      </c>
      <c r="AE39" s="243">
        <v>2.7723384297502918</v>
      </c>
      <c r="AF39" s="243">
        <v>1.9476802427087279</v>
      </c>
      <c r="AG39" s="243">
        <v>4.5231356784568391</v>
      </c>
      <c r="AH39" s="243">
        <v>7.5084087346721731</v>
      </c>
      <c r="AI39" s="243">
        <v>-4.0950104110434182</v>
      </c>
      <c r="AJ39" s="243">
        <v>1.4601635867918787</v>
      </c>
      <c r="AK39" s="243">
        <v>1.5273649974765817</v>
      </c>
    </row>
    <row r="40" spans="1:37" ht="15.6">
      <c r="A40" s="237">
        <v>1986</v>
      </c>
      <c r="B40" s="240">
        <v>224985</v>
      </c>
      <c r="C40" s="240">
        <v>2009.7116998610288</v>
      </c>
      <c r="D40" s="240">
        <v>12530</v>
      </c>
      <c r="E40" s="240">
        <v>729252</v>
      </c>
      <c r="F40" s="240">
        <v>64093.382574455696</v>
      </c>
      <c r="G40" s="240">
        <v>134844</v>
      </c>
      <c r="H40" s="240">
        <v>12107</v>
      </c>
      <c r="I40" s="240">
        <v>15057</v>
      </c>
      <c r="J40" s="240">
        <v>37648</v>
      </c>
      <c r="K40" s="240">
        <v>25199</v>
      </c>
      <c r="L40" s="240">
        <v>7119</v>
      </c>
      <c r="M40" s="240">
        <v>457655</v>
      </c>
      <c r="N40" s="240">
        <v>78348</v>
      </c>
      <c r="O40" s="240">
        <v>5336.4790495716579</v>
      </c>
      <c r="P40" s="240">
        <v>346.16577944958436</v>
      </c>
      <c r="Q40" s="240">
        <v>12028</v>
      </c>
      <c r="R40" s="240">
        <v>18231</v>
      </c>
      <c r="S40" s="240">
        <v>152244</v>
      </c>
      <c r="T40" s="243">
        <v>7.3191789773946851</v>
      </c>
      <c r="U40" s="243">
        <v>5.1000000149447118</v>
      </c>
      <c r="V40" s="243">
        <v>-3.1909140075716635</v>
      </c>
      <c r="W40" s="243">
        <v>8.0229302759632191</v>
      </c>
      <c r="X40" s="243">
        <v>5.5962270537774259</v>
      </c>
      <c r="Y40" s="243">
        <v>6.1128773332493864</v>
      </c>
      <c r="Z40" s="243">
        <v>5.5076252723311541</v>
      </c>
      <c r="AA40" s="243">
        <v>5.6893195567394343</v>
      </c>
      <c r="AB40" s="243">
        <v>5.6893195567394343</v>
      </c>
      <c r="AC40" s="243">
        <v>0.12715063376644764</v>
      </c>
      <c r="AD40" s="243">
        <v>1.6564329573040197</v>
      </c>
      <c r="AE40" s="243">
        <v>-3.7539037444401231</v>
      </c>
      <c r="AF40" s="243">
        <v>9.9790844902370992</v>
      </c>
      <c r="AG40" s="243">
        <v>4.9648356642972828</v>
      </c>
      <c r="AH40" s="243">
        <v>16.805340150456843</v>
      </c>
      <c r="AI40" s="243">
        <v>-3.2807976841428115</v>
      </c>
      <c r="AJ40" s="243">
        <v>8.86778932282337</v>
      </c>
      <c r="AK40" s="243">
        <v>5.1096704707856162</v>
      </c>
    </row>
    <row r="41" spans="1:37" ht="15.6">
      <c r="A41" s="237">
        <v>1987</v>
      </c>
      <c r="B41" s="240">
        <v>230797</v>
      </c>
      <c r="C41" s="240">
        <v>2061.9642035979405</v>
      </c>
      <c r="D41" s="240">
        <v>12858</v>
      </c>
      <c r="E41" s="240">
        <v>753685</v>
      </c>
      <c r="F41" s="240">
        <v>68311.238763075293</v>
      </c>
      <c r="G41" s="240">
        <v>142086</v>
      </c>
      <c r="H41" s="240">
        <v>12683</v>
      </c>
      <c r="I41" s="240">
        <v>16189</v>
      </c>
      <c r="J41" s="240">
        <v>35288</v>
      </c>
      <c r="K41" s="240">
        <v>26094</v>
      </c>
      <c r="L41" s="240">
        <v>7668</v>
      </c>
      <c r="M41" s="240">
        <v>466148</v>
      </c>
      <c r="N41" s="240">
        <v>85018</v>
      </c>
      <c r="O41" s="240">
        <v>5741.1071341199304</v>
      </c>
      <c r="P41" s="240">
        <v>355.55358340071342</v>
      </c>
      <c r="Q41" s="240">
        <v>11473</v>
      </c>
      <c r="R41" s="240">
        <v>19676</v>
      </c>
      <c r="S41" s="240">
        <v>157698</v>
      </c>
      <c r="T41" s="243">
        <v>2.5832833299997731</v>
      </c>
      <c r="U41" s="243">
        <v>2.5999999771372728</v>
      </c>
      <c r="V41" s="243">
        <v>2.6177174780526826</v>
      </c>
      <c r="W41" s="243">
        <v>3.3504193337831083</v>
      </c>
      <c r="X41" s="243">
        <v>6.5807982340763829</v>
      </c>
      <c r="Y41" s="243">
        <v>5.3706505295007645</v>
      </c>
      <c r="Z41" s="243">
        <v>4.7575782605104422</v>
      </c>
      <c r="AA41" s="243">
        <v>1.0262880415128137</v>
      </c>
      <c r="AB41" s="243">
        <v>1.0262880415128137</v>
      </c>
      <c r="AC41" s="243">
        <v>3.5517282431842574</v>
      </c>
      <c r="AD41" s="243">
        <v>7.7117572692793885</v>
      </c>
      <c r="AE41" s="243">
        <v>1.8557647135942972</v>
      </c>
      <c r="AF41" s="243">
        <v>8.5132996375146774</v>
      </c>
      <c r="AG41" s="243">
        <v>7.5823043769046592</v>
      </c>
      <c r="AH41" s="243">
        <v>2.7119387612651877</v>
      </c>
      <c r="AI41" s="243">
        <v>-4.6142334552710338</v>
      </c>
      <c r="AJ41" s="243">
        <v>7.92606000767924</v>
      </c>
      <c r="AK41" s="243">
        <v>3.5824071884606354</v>
      </c>
    </row>
    <row r="42" spans="1:37" ht="15.6">
      <c r="A42" s="237">
        <v>1988</v>
      </c>
      <c r="B42" s="240">
        <v>226438</v>
      </c>
      <c r="C42" s="240">
        <v>2134.1329504156843</v>
      </c>
      <c r="D42" s="240">
        <v>13348</v>
      </c>
      <c r="E42" s="240">
        <v>751910</v>
      </c>
      <c r="F42" s="240">
        <v>73289.658556611001</v>
      </c>
      <c r="G42" s="240">
        <v>147896</v>
      </c>
      <c r="H42" s="240">
        <v>13114</v>
      </c>
      <c r="I42" s="240">
        <v>16300</v>
      </c>
      <c r="J42" s="240">
        <v>39060</v>
      </c>
      <c r="K42" s="240">
        <v>27110</v>
      </c>
      <c r="L42" s="240">
        <v>7889</v>
      </c>
      <c r="M42" s="240">
        <v>471953</v>
      </c>
      <c r="N42" s="240">
        <v>78003</v>
      </c>
      <c r="O42" s="240">
        <v>6080.7149818119751</v>
      </c>
      <c r="P42" s="240">
        <v>406.22134797864294</v>
      </c>
      <c r="Q42" s="240">
        <v>11027</v>
      </c>
      <c r="R42" s="240">
        <v>19676</v>
      </c>
      <c r="S42" s="240">
        <v>166879</v>
      </c>
      <c r="T42" s="243">
        <v>-1.8886727297148553</v>
      </c>
      <c r="U42" s="243">
        <v>3.4999999850538615</v>
      </c>
      <c r="V42" s="243">
        <v>3.8108570539741748</v>
      </c>
      <c r="W42" s="243">
        <v>-0.23550952984336959</v>
      </c>
      <c r="X42" s="243">
        <v>7.2878487986470617</v>
      </c>
      <c r="Y42" s="243">
        <v>4.0890728150556583</v>
      </c>
      <c r="Z42" s="243">
        <v>3.3982496254829471</v>
      </c>
      <c r="AA42" s="243">
        <v>-3.3374645651650212</v>
      </c>
      <c r="AB42" s="243">
        <v>-3.3374645651650212</v>
      </c>
      <c r="AC42" s="243">
        <v>3.8936153905112292</v>
      </c>
      <c r="AD42" s="243">
        <v>2.8821074595722536</v>
      </c>
      <c r="AE42" s="243">
        <v>1.2453126474853491</v>
      </c>
      <c r="AF42" s="243">
        <v>-8.2511938648286218</v>
      </c>
      <c r="AG42" s="243">
        <v>5.9153720660205806</v>
      </c>
      <c r="AH42" s="243">
        <v>14.250387829962136</v>
      </c>
      <c r="AI42" s="243">
        <v>-3.887387780005227</v>
      </c>
      <c r="AJ42" s="243">
        <v>0</v>
      </c>
      <c r="AK42" s="243">
        <v>5.821887405040016</v>
      </c>
    </row>
    <row r="43" spans="1:37" ht="15.6">
      <c r="A43" s="237">
        <v>1989</v>
      </c>
      <c r="B43" s="240">
        <v>212373</v>
      </c>
      <c r="C43" s="240">
        <v>2210.9617374748877</v>
      </c>
      <c r="D43" s="240">
        <v>13735</v>
      </c>
      <c r="E43" s="240">
        <v>776547</v>
      </c>
      <c r="F43" s="240">
        <v>81061.942801409998</v>
      </c>
      <c r="G43" s="240">
        <v>152686</v>
      </c>
      <c r="H43" s="240">
        <v>13867</v>
      </c>
      <c r="I43" s="240">
        <v>18377</v>
      </c>
      <c r="J43" s="240">
        <v>39123</v>
      </c>
      <c r="K43" s="240">
        <v>28179</v>
      </c>
      <c r="L43" s="240">
        <v>8428</v>
      </c>
      <c r="M43" s="240">
        <v>491767</v>
      </c>
      <c r="N43" s="240">
        <v>68466</v>
      </c>
      <c r="O43" s="240">
        <v>6502.4249649940539</v>
      </c>
      <c r="P43" s="240">
        <v>436.13523164852234</v>
      </c>
      <c r="Q43" s="240">
        <v>10937</v>
      </c>
      <c r="R43" s="240">
        <v>19930</v>
      </c>
      <c r="S43" s="240">
        <v>152577</v>
      </c>
      <c r="T43" s="243">
        <v>-6.2114132786899745</v>
      </c>
      <c r="U43" s="243">
        <v>3.6000000395588643</v>
      </c>
      <c r="V43" s="243">
        <v>2.8993107581660098</v>
      </c>
      <c r="W43" s="243">
        <v>3.2765889534651649</v>
      </c>
      <c r="X43" s="243">
        <v>10.604885324708491</v>
      </c>
      <c r="Y43" s="243">
        <v>3.2387623735597941</v>
      </c>
      <c r="Z43" s="243">
        <v>5.7419551624218457</v>
      </c>
      <c r="AA43" s="243">
        <v>-7.5733806592370598</v>
      </c>
      <c r="AB43" s="243">
        <v>-7.5733806592370598</v>
      </c>
      <c r="AC43" s="243">
        <v>3.943194393212849</v>
      </c>
      <c r="AD43" s="243">
        <v>6.8322981366459601</v>
      </c>
      <c r="AE43" s="243">
        <v>4.1982994069324633</v>
      </c>
      <c r="AF43" s="243">
        <v>-12.226452828737351</v>
      </c>
      <c r="AG43" s="243">
        <v>6.9352039101233203</v>
      </c>
      <c r="AH43" s="243">
        <v>7.3639368828671365</v>
      </c>
      <c r="AI43" s="243">
        <v>-0.81617847102566543</v>
      </c>
      <c r="AJ43" s="243">
        <v>1.2909127871518535</v>
      </c>
      <c r="AK43" s="243">
        <v>-8.5702814614181477</v>
      </c>
    </row>
    <row r="44" spans="1:37" ht="15.6">
      <c r="A44" s="237">
        <v>1990</v>
      </c>
      <c r="B44" s="240">
        <v>212518</v>
      </c>
      <c r="C44" s="240">
        <v>2138</v>
      </c>
      <c r="D44" s="240">
        <v>14446</v>
      </c>
      <c r="E44" s="240">
        <v>743765</v>
      </c>
      <c r="F44" s="240">
        <v>84037.998175868692</v>
      </c>
      <c r="G44" s="240">
        <v>159042</v>
      </c>
      <c r="H44" s="240">
        <v>14370</v>
      </c>
      <c r="I44" s="240">
        <v>17503</v>
      </c>
      <c r="J44" s="240">
        <v>40267</v>
      </c>
      <c r="K44" s="240">
        <v>29050</v>
      </c>
      <c r="L44" s="240">
        <v>8890</v>
      </c>
      <c r="M44" s="240">
        <v>516692</v>
      </c>
      <c r="N44" s="240">
        <v>64979</v>
      </c>
      <c r="O44" s="240">
        <v>6770.5383403332953</v>
      </c>
      <c r="P44" s="240">
        <v>449</v>
      </c>
      <c r="Q44" s="240">
        <v>11110</v>
      </c>
      <c r="R44" s="240">
        <v>20105</v>
      </c>
      <c r="S44" s="240">
        <v>160648</v>
      </c>
      <c r="T44" s="243">
        <v>6.8276099127473344E-2</v>
      </c>
      <c r="U44" s="243">
        <v>-3.300000006251409</v>
      </c>
      <c r="V44" s="243">
        <v>5.1765562431743746</v>
      </c>
      <c r="W44" s="243">
        <v>-4.2215088075802214</v>
      </c>
      <c r="X44" s="243">
        <v>3.6713348725796067</v>
      </c>
      <c r="Y44" s="243">
        <v>4.1627916115426444</v>
      </c>
      <c r="Z44" s="243">
        <v>3.6273166510420367</v>
      </c>
      <c r="AA44" s="243">
        <v>-1.3372112513385304</v>
      </c>
      <c r="AB44" s="243">
        <v>-1.3372112513385304</v>
      </c>
      <c r="AC44" s="243">
        <v>3.0909542567159889</v>
      </c>
      <c r="AD44" s="243">
        <v>5.4817275747508347</v>
      </c>
      <c r="AE44" s="243">
        <v>5.0684572165273352</v>
      </c>
      <c r="AF44" s="243">
        <v>-5.0930388806122835</v>
      </c>
      <c r="AG44" s="243">
        <v>4.1232828795816374</v>
      </c>
      <c r="AH44" s="243">
        <v>2.9497200450536525</v>
      </c>
      <c r="AI44" s="243">
        <v>1.5817865959586612</v>
      </c>
      <c r="AJ44" s="243">
        <v>0.87807325639739986</v>
      </c>
      <c r="AK44" s="243">
        <v>5.2897881069886097</v>
      </c>
    </row>
    <row r="45" spans="1:37" ht="15.6">
      <c r="A45" s="237">
        <v>1991</v>
      </c>
      <c r="B45" s="240">
        <v>233016.47025519001</v>
      </c>
      <c r="C45" s="240">
        <v>2054.3380730292324</v>
      </c>
      <c r="D45" s="240">
        <v>15206.802558625393</v>
      </c>
      <c r="E45" s="240">
        <v>751425.77949999832</v>
      </c>
      <c r="F45" s="240">
        <v>90735.742972868247</v>
      </c>
      <c r="G45" s="240">
        <v>162814.35146595203</v>
      </c>
      <c r="H45" s="240">
        <v>14695.574622050512</v>
      </c>
      <c r="I45" s="240">
        <v>17668.384628837706</v>
      </c>
      <c r="J45" s="240">
        <v>41994.994843411063</v>
      </c>
      <c r="K45" s="240">
        <v>30112.721265046079</v>
      </c>
      <c r="L45" s="240">
        <v>8964.3259363710531</v>
      </c>
      <c r="M45" s="240">
        <v>538508.02496984391</v>
      </c>
      <c r="N45" s="240">
        <v>66806.71967099914</v>
      </c>
      <c r="O45" s="240">
        <v>7007.0772635592775</v>
      </c>
      <c r="P45" s="240">
        <v>449.60236739694153</v>
      </c>
      <c r="Q45" s="240">
        <v>11408.090973324068</v>
      </c>
      <c r="R45" s="240">
        <v>20816.477447848112</v>
      </c>
      <c r="S45" s="240">
        <v>176278.870379662</v>
      </c>
      <c r="T45" s="243">
        <v>9.6455219111745834</v>
      </c>
      <c r="U45" s="243">
        <v>-3.913092935957323</v>
      </c>
      <c r="V45" s="243">
        <v>5.2665274721403392</v>
      </c>
      <c r="W45" s="243">
        <v>1.0299999999997738</v>
      </c>
      <c r="X45" s="243">
        <v>7.9699004526297728</v>
      </c>
      <c r="Y45" s="243">
        <v>2.3719215464795553</v>
      </c>
      <c r="Z45" s="243">
        <v>2.265654989913088</v>
      </c>
      <c r="AA45" s="243">
        <v>8.1112396713912176</v>
      </c>
      <c r="AB45" s="243">
        <v>8.1112396713912176</v>
      </c>
      <c r="AC45" s="243">
        <v>3.6582487609159386</v>
      </c>
      <c r="AD45" s="243">
        <v>0.83606227638979647</v>
      </c>
      <c r="AE45" s="243">
        <v>4.2222494193530906</v>
      </c>
      <c r="AF45" s="243">
        <v>2.8127851628974696</v>
      </c>
      <c r="AG45" s="243">
        <v>3.49365015506784</v>
      </c>
      <c r="AH45" s="243">
        <v>0.13415754943018499</v>
      </c>
      <c r="AI45" s="243">
        <v>2.6830870686234789</v>
      </c>
      <c r="AJ45" s="243">
        <v>3.5388084946436749</v>
      </c>
      <c r="AK45" s="243">
        <v>9.7298879411271884</v>
      </c>
    </row>
    <row r="46" spans="1:37" ht="15.6">
      <c r="A46" s="237">
        <v>1992</v>
      </c>
      <c r="B46" s="240">
        <v>250805.55207440985</v>
      </c>
      <c r="C46" s="240">
        <v>1910.8481401433276</v>
      </c>
      <c r="D46" s="240">
        <v>15457.182096304794</v>
      </c>
      <c r="E46" s="240">
        <v>747368.08029070031</v>
      </c>
      <c r="F46" s="240">
        <v>101876.29890176971</v>
      </c>
      <c r="G46" s="240">
        <v>169902.07583994916</v>
      </c>
      <c r="H46" s="240">
        <v>16040.516010081094</v>
      </c>
      <c r="I46" s="240">
        <v>19525.894059134414</v>
      </c>
      <c r="J46" s="240">
        <v>42882.899502404798</v>
      </c>
      <c r="K46" s="240">
        <v>31569.677838093048</v>
      </c>
      <c r="L46" s="240">
        <v>9112.7379829279071</v>
      </c>
      <c r="M46" s="240">
        <v>558048.64650029235</v>
      </c>
      <c r="N46" s="240">
        <v>66520.274434920939</v>
      </c>
      <c r="O46" s="240">
        <v>7125.9472850271841</v>
      </c>
      <c r="P46" s="240">
        <v>482.73264458298394</v>
      </c>
      <c r="Q46" s="240">
        <v>11220.174533915108</v>
      </c>
      <c r="R46" s="240">
        <v>22467.554759443745</v>
      </c>
      <c r="S46" s="240">
        <v>186962.20419802627</v>
      </c>
      <c r="T46" s="243">
        <v>7.6342594151125809</v>
      </c>
      <c r="U46" s="243">
        <v>-6.9847283059073675</v>
      </c>
      <c r="V46" s="243">
        <v>1.6464969326334966</v>
      </c>
      <c r="W46" s="243">
        <v>-0.53999999999973625</v>
      </c>
      <c r="X46" s="243">
        <v>12.278023592348504</v>
      </c>
      <c r="Y46" s="243">
        <v>4.3532552936399611</v>
      </c>
      <c r="Z46" s="243">
        <v>9.1520163220600921</v>
      </c>
      <c r="AA46" s="243">
        <v>6.1688780686142763</v>
      </c>
      <c r="AB46" s="243">
        <v>6.1688780686142763</v>
      </c>
      <c r="AC46" s="243">
        <v>4.8383424408014548</v>
      </c>
      <c r="AD46" s="243">
        <v>1.6555851227441565</v>
      </c>
      <c r="AE46" s="243">
        <v>3.6286593002105718</v>
      </c>
      <c r="AF46" s="243">
        <v>-0.42876710230474657</v>
      </c>
      <c r="AG46" s="243">
        <v>1.6964280112351133</v>
      </c>
      <c r="AH46" s="243">
        <v>7.3687950928409123</v>
      </c>
      <c r="AI46" s="243">
        <v>-1.6472207299921706</v>
      </c>
      <c r="AJ46" s="243">
        <v>7.9315884050608787</v>
      </c>
      <c r="AK46" s="243">
        <v>6.0604732690622285</v>
      </c>
    </row>
    <row r="47" spans="1:37" ht="15.6">
      <c r="A47" s="237">
        <v>1993</v>
      </c>
      <c r="B47" s="240">
        <v>266602.65678790893</v>
      </c>
      <c r="C47" s="240">
        <v>1934.1956546467993</v>
      </c>
      <c r="D47" s="240">
        <v>16117.094597107664</v>
      </c>
      <c r="E47" s="240">
        <v>784138.5898410005</v>
      </c>
      <c r="F47" s="240">
        <v>108993.64603989926</v>
      </c>
      <c r="G47" s="240">
        <v>179603.76163637679</v>
      </c>
      <c r="H47" s="240">
        <v>17229.709603336138</v>
      </c>
      <c r="I47" s="240">
        <v>20936.175455974491</v>
      </c>
      <c r="J47" s="240">
        <v>43729.072628079186</v>
      </c>
      <c r="K47" s="240">
        <v>32809.804991739518</v>
      </c>
      <c r="L47" s="240">
        <v>9292.0678956457014</v>
      </c>
      <c r="M47" s="240">
        <v>568933.52614702063</v>
      </c>
      <c r="N47" s="240">
        <v>69689.961889804079</v>
      </c>
      <c r="O47" s="240">
        <v>7477.7096547228512</v>
      </c>
      <c r="P47" s="240">
        <v>487.85184352109331</v>
      </c>
      <c r="Q47" s="240">
        <v>11057.116223720739</v>
      </c>
      <c r="R47" s="240">
        <v>23064.640387145297</v>
      </c>
      <c r="S47" s="240">
        <v>187477.07579862775</v>
      </c>
      <c r="T47" s="243">
        <v>6.29854665610128</v>
      </c>
      <c r="U47" s="243">
        <v>1.2218403970982479</v>
      </c>
      <c r="V47" s="243">
        <v>4.2692936959100081</v>
      </c>
      <c r="W47" s="243">
        <v>4.9199999999997033</v>
      </c>
      <c r="X47" s="243">
        <v>6.9862639444648238</v>
      </c>
      <c r="Y47" s="243">
        <v>5.7101631916297322</v>
      </c>
      <c r="Z47" s="243">
        <v>7.4136866451656829</v>
      </c>
      <c r="AA47" s="243">
        <v>4.938254503329361</v>
      </c>
      <c r="AB47" s="243">
        <v>4.938254503329361</v>
      </c>
      <c r="AC47" s="243">
        <v>3.9282223911391725</v>
      </c>
      <c r="AD47" s="243">
        <v>1.9679037524589944</v>
      </c>
      <c r="AE47" s="243">
        <v>1.9505252301911185</v>
      </c>
      <c r="AF47" s="243">
        <v>4.7649945551324464</v>
      </c>
      <c r="AG47" s="243">
        <v>4.9363594147655192</v>
      </c>
      <c r="AH47" s="243">
        <v>1.0604625553201714</v>
      </c>
      <c r="AI47" s="243">
        <v>-1.4532600157109385</v>
      </c>
      <c r="AJ47" s="243">
        <v>2.6575461108004248</v>
      </c>
      <c r="AK47" s="243">
        <v>0.27538806723529774</v>
      </c>
    </row>
    <row r="48" spans="1:37" ht="15.6">
      <c r="A48" s="237">
        <v>1994</v>
      </c>
      <c r="B48" s="240">
        <v>283187.97991074238</v>
      </c>
      <c r="C48" s="240">
        <v>2007.3998407462154</v>
      </c>
      <c r="D48" s="240">
        <v>16869.322988154789</v>
      </c>
      <c r="E48" s="240">
        <v>830010.69734670618</v>
      </c>
      <c r="F48" s="240">
        <v>115215.1332881963</v>
      </c>
      <c r="G48" s="240">
        <v>188848.58911990066</v>
      </c>
      <c r="H48" s="240">
        <v>18044.605277677907</v>
      </c>
      <c r="I48" s="240">
        <v>21418.389255827828</v>
      </c>
      <c r="J48" s="240">
        <v>45591.166068009348</v>
      </c>
      <c r="K48" s="240">
        <v>34133.064373377456</v>
      </c>
      <c r="L48" s="240">
        <v>9374.9980070753008</v>
      </c>
      <c r="M48" s="240">
        <v>594053.79396865459</v>
      </c>
      <c r="N48" s="240">
        <v>78625.357337156427</v>
      </c>
      <c r="O48" s="240">
        <v>7875.368097028545</v>
      </c>
      <c r="P48" s="240">
        <v>496.77227775918897</v>
      </c>
      <c r="Q48" s="240">
        <v>11451.265618802059</v>
      </c>
      <c r="R48" s="240">
        <v>24744.055887051272</v>
      </c>
      <c r="S48" s="240">
        <v>183072.28712159229</v>
      </c>
      <c r="T48" s="243">
        <v>6.2209894389865639</v>
      </c>
      <c r="U48" s="243">
        <v>3.7847353200048275</v>
      </c>
      <c r="V48" s="243">
        <v>4.6672704345987768</v>
      </c>
      <c r="W48" s="243">
        <v>5.8500000000009038</v>
      </c>
      <c r="X48" s="243">
        <v>5.7081192109304624</v>
      </c>
      <c r="Y48" s="243">
        <v>5.1473462467010052</v>
      </c>
      <c r="Z48" s="243">
        <v>4.7295961052296747</v>
      </c>
      <c r="AA48" s="243">
        <v>4.8805743289863415</v>
      </c>
      <c r="AB48" s="243">
        <v>4.8805743289863415</v>
      </c>
      <c r="AC48" s="243">
        <v>4.0331217511688777</v>
      </c>
      <c r="AD48" s="243">
        <v>0.89248283978274401</v>
      </c>
      <c r="AE48" s="243">
        <v>4.4153256342187319</v>
      </c>
      <c r="AF48" s="243">
        <v>12.821639164448499</v>
      </c>
      <c r="AG48" s="243">
        <v>5.317917660182701</v>
      </c>
      <c r="AH48" s="243">
        <v>1.8285129710102126</v>
      </c>
      <c r="AI48" s="243">
        <v>3.5646671980869229</v>
      </c>
      <c r="AJ48" s="243">
        <v>7.2813426600918092</v>
      </c>
      <c r="AK48" s="243">
        <v>-2.3495078842421862</v>
      </c>
    </row>
    <row r="49" spans="1:37" ht="15.6">
      <c r="A49" s="237">
        <v>1995</v>
      </c>
      <c r="B49" s="240">
        <v>275008.17459363409</v>
      </c>
      <c r="C49" s="240">
        <v>2048.0147878512121</v>
      </c>
      <c r="D49" s="240">
        <v>17658.51590091551</v>
      </c>
      <c r="E49" s="240">
        <v>865037.14877473097</v>
      </c>
      <c r="F49" s="240">
        <v>127459.71054105408</v>
      </c>
      <c r="G49" s="240">
        <v>198673.31911323787</v>
      </c>
      <c r="H49" s="240">
        <v>18752.113225567577</v>
      </c>
      <c r="I49" s="240">
        <v>22595.036162749089</v>
      </c>
      <c r="J49" s="240">
        <v>46618.12932043476</v>
      </c>
      <c r="K49" s="240">
        <v>35822.276964833654</v>
      </c>
      <c r="L49" s="240">
        <v>9607.9658840418124</v>
      </c>
      <c r="M49" s="240">
        <v>557418.52686017507</v>
      </c>
      <c r="N49" s="240">
        <v>84452.593176804643</v>
      </c>
      <c r="O49" s="240">
        <v>8412.6895230005921</v>
      </c>
      <c r="P49" s="240">
        <v>515.80713714687863</v>
      </c>
      <c r="Q49" s="240">
        <v>11904.358389527963</v>
      </c>
      <c r="R49" s="240">
        <v>24385.861186806971</v>
      </c>
      <c r="S49" s="240">
        <v>190306.68651948459</v>
      </c>
      <c r="T49" s="243">
        <v>-2.8884719329141291</v>
      </c>
      <c r="U49" s="243">
        <v>2.0232614489945888</v>
      </c>
      <c r="V49" s="243">
        <v>4.6782725857752183</v>
      </c>
      <c r="W49" s="243">
        <v>4.2199999999992457</v>
      </c>
      <c r="X49" s="243">
        <v>10.627577214383365</v>
      </c>
      <c r="Y49" s="243">
        <v>5.2024375925305151</v>
      </c>
      <c r="Z49" s="243">
        <v>3.9208834829149311</v>
      </c>
      <c r="AA49" s="243">
        <v>-4.06390544231067</v>
      </c>
      <c r="AB49" s="243">
        <v>-4.06390544231067</v>
      </c>
      <c r="AC49" s="243">
        <v>4.9489040098424937</v>
      </c>
      <c r="AD49" s="243">
        <v>2.4849912158988303</v>
      </c>
      <c r="AE49" s="243">
        <v>-6.1669948884145356</v>
      </c>
      <c r="AF49" s="243">
        <v>7.4113950473512205</v>
      </c>
      <c r="AG49" s="243">
        <v>6.8228103036197467</v>
      </c>
      <c r="AH49" s="243">
        <v>3.8317072509663745</v>
      </c>
      <c r="AI49" s="243">
        <v>3.9567047504509958</v>
      </c>
      <c r="AJ49" s="243">
        <v>-1.4475989784348542</v>
      </c>
      <c r="AK49" s="243">
        <v>3.9516627620910043</v>
      </c>
    </row>
    <row r="50" spans="1:37" ht="15.6">
      <c r="A50" s="237">
        <v>1996</v>
      </c>
      <c r="B50" s="240">
        <v>289372.48272881994</v>
      </c>
      <c r="C50" s="240">
        <v>2129.2446820612004</v>
      </c>
      <c r="D50" s="240">
        <v>18428.664358327209</v>
      </c>
      <c r="E50" s="240">
        <v>883639.76471990149</v>
      </c>
      <c r="F50" s="240">
        <v>136908.94407413586</v>
      </c>
      <c r="G50" s="240">
        <v>202757.75390601627</v>
      </c>
      <c r="H50" s="240">
        <v>18918.368159461348</v>
      </c>
      <c r="I50" s="240">
        <v>24206.371196676992</v>
      </c>
      <c r="J50" s="240">
        <v>47425.437616238261</v>
      </c>
      <c r="K50" s="240">
        <v>36881.570096766554</v>
      </c>
      <c r="L50" s="240">
        <v>9623.028374169884</v>
      </c>
      <c r="M50" s="240">
        <v>586144.06467090943</v>
      </c>
      <c r="N50" s="240">
        <v>86816.398524447315</v>
      </c>
      <c r="O50" s="240">
        <v>8545.087179892289</v>
      </c>
      <c r="P50" s="240">
        <v>531.76036073006344</v>
      </c>
      <c r="Q50" s="240">
        <v>12742.630073940032</v>
      </c>
      <c r="R50" s="240">
        <v>25746.094225709479</v>
      </c>
      <c r="S50" s="240">
        <v>189930.18876066248</v>
      </c>
      <c r="T50" s="243">
        <v>5.2232295117813408</v>
      </c>
      <c r="U50" s="243">
        <v>3.966274789217465</v>
      </c>
      <c r="V50" s="243">
        <v>4.3613430581205961</v>
      </c>
      <c r="W50" s="243">
        <v>2.1504990822093504</v>
      </c>
      <c r="X50" s="243">
        <v>7.4135061918552196</v>
      </c>
      <c r="Y50" s="243">
        <v>2.0558547121520547</v>
      </c>
      <c r="Z50" s="243">
        <v>0.88659305697392199</v>
      </c>
      <c r="AA50" s="243">
        <v>4.0168131504441362</v>
      </c>
      <c r="AB50" s="243">
        <v>4.0168131504441362</v>
      </c>
      <c r="AC50" s="243">
        <v>2.9570792860900355</v>
      </c>
      <c r="AD50" s="243">
        <v>0.15677085357982889</v>
      </c>
      <c r="AE50" s="243">
        <v>5.1533159424282928</v>
      </c>
      <c r="AF50" s="243">
        <v>2.798973079126128</v>
      </c>
      <c r="AG50" s="243">
        <v>1.5737851317312561</v>
      </c>
      <c r="AH50" s="243">
        <v>3.0928660024807044</v>
      </c>
      <c r="AI50" s="243">
        <v>7.0417208301581553</v>
      </c>
      <c r="AJ50" s="243">
        <v>5.5779577702115688</v>
      </c>
      <c r="AK50" s="243">
        <v>-0.19783737802799806</v>
      </c>
    </row>
    <row r="51" spans="1:37" ht="15.6">
      <c r="A51" s="237">
        <v>1997</v>
      </c>
      <c r="B51" s="240">
        <v>311747.93250008638</v>
      </c>
      <c r="C51" s="240">
        <v>2230.1740416334878</v>
      </c>
      <c r="D51" s="240">
        <v>19341.658859185121</v>
      </c>
      <c r="E51" s="240">
        <v>913465.23678250005</v>
      </c>
      <c r="F51" s="240">
        <v>146673.26851204183</v>
      </c>
      <c r="G51" s="240">
        <v>209712.94032049464</v>
      </c>
      <c r="H51" s="240">
        <v>19973.670118897826</v>
      </c>
      <c r="I51" s="240">
        <v>26143.915577842847</v>
      </c>
      <c r="J51" s="240">
        <v>49477.946420157037</v>
      </c>
      <c r="K51" s="240">
        <v>38491.078593344319</v>
      </c>
      <c r="L51" s="240">
        <v>9528.3081556447341</v>
      </c>
      <c r="M51" s="240">
        <v>625837.5773419576</v>
      </c>
      <c r="N51" s="240">
        <v>92439.344225335211</v>
      </c>
      <c r="O51" s="240">
        <v>8907.6138794921026</v>
      </c>
      <c r="P51" s="240">
        <v>553.21569221399443</v>
      </c>
      <c r="Q51" s="240">
        <v>13722.275685951998</v>
      </c>
      <c r="R51" s="240">
        <v>27045.683541627546</v>
      </c>
      <c r="S51" s="240">
        <v>202030.51102190919</v>
      </c>
      <c r="T51" s="243">
        <v>7.7324041181328056</v>
      </c>
      <c r="U51" s="243">
        <v>4.740148486578974</v>
      </c>
      <c r="V51" s="243">
        <v>4.9542087429975084</v>
      </c>
      <c r="W51" s="243">
        <v>3.3752976329729449</v>
      </c>
      <c r="X51" s="243">
        <v>7.1319843301242685</v>
      </c>
      <c r="Y51" s="243">
        <v>3.430293678288777</v>
      </c>
      <c r="Z51" s="243">
        <v>5.5781870325253493</v>
      </c>
      <c r="AA51" s="243">
        <v>6.481469996564428</v>
      </c>
      <c r="AB51" s="243">
        <v>6.481469996564428</v>
      </c>
      <c r="AC51" s="243">
        <v>4.363991262722493</v>
      </c>
      <c r="AD51" s="243">
        <v>-0.98430779627956611</v>
      </c>
      <c r="AE51" s="243">
        <v>6.7719721248621738</v>
      </c>
      <c r="AF51" s="243">
        <v>6.476824420797044</v>
      </c>
      <c r="AG51" s="243">
        <v>4.24251610273663</v>
      </c>
      <c r="AH51" s="243">
        <v>4.0347745090428617</v>
      </c>
      <c r="AI51" s="243">
        <v>7.6879388817497016</v>
      </c>
      <c r="AJ51" s="243">
        <v>5.0477144398093827</v>
      </c>
      <c r="AK51" s="243">
        <v>6.3709315197357768</v>
      </c>
    </row>
    <row r="52" spans="1:37" ht="15.6">
      <c r="A52" s="237">
        <v>1998</v>
      </c>
      <c r="B52" s="240">
        <v>325329.41029612534</v>
      </c>
      <c r="C52" s="240">
        <v>2313.592765328176</v>
      </c>
      <c r="D52" s="240">
        <v>20314.419031082765</v>
      </c>
      <c r="E52" s="240">
        <v>913788.10751672101</v>
      </c>
      <c r="F52" s="240">
        <v>152680.93295638025</v>
      </c>
      <c r="G52" s="240">
        <v>210907.85128880639</v>
      </c>
      <c r="H52" s="240">
        <v>21651.028222825425</v>
      </c>
      <c r="I52" s="240">
        <v>27976.760329129065</v>
      </c>
      <c r="J52" s="240">
        <v>51094.158088341501</v>
      </c>
      <c r="K52" s="240">
        <v>40413.40423648811</v>
      </c>
      <c r="L52" s="240">
        <v>9411.4473384753619</v>
      </c>
      <c r="M52" s="240">
        <v>657319.56153019879</v>
      </c>
      <c r="N52" s="240">
        <v>92077.409476326546</v>
      </c>
      <c r="O52" s="240">
        <v>8913.6744203101971</v>
      </c>
      <c r="P52" s="240">
        <v>588.36231545094449</v>
      </c>
      <c r="Q52" s="240">
        <v>14836.291563191573</v>
      </c>
      <c r="R52" s="240">
        <v>28273.104937981581</v>
      </c>
      <c r="S52" s="240">
        <v>202624.59216539407</v>
      </c>
      <c r="T52" s="243">
        <v>4.3565574556088507</v>
      </c>
      <c r="U52" s="243">
        <v>3.740458015267194</v>
      </c>
      <c r="V52" s="243">
        <v>5.0293523372515239</v>
      </c>
      <c r="W52" s="243">
        <v>3.5345705695192464E-2</v>
      </c>
      <c r="X52" s="243">
        <v>4.0959504791053121</v>
      </c>
      <c r="Y52" s="243">
        <v>0.56978408985426654</v>
      </c>
      <c r="Z52" s="243">
        <v>8.3978462342811468</v>
      </c>
      <c r="AA52" s="243">
        <v>3.168450927107429</v>
      </c>
      <c r="AB52" s="243">
        <v>3.168450927107429</v>
      </c>
      <c r="AC52" s="243">
        <v>4.9942109013182829</v>
      </c>
      <c r="AD52" s="243">
        <v>-1.2264592544704982</v>
      </c>
      <c r="AE52" s="243">
        <v>5.0303761435915675</v>
      </c>
      <c r="AF52" s="243">
        <v>-0.39153755583379279</v>
      </c>
      <c r="AG52" s="243">
        <v>6.8037758484877031E-2</v>
      </c>
      <c r="AH52" s="243">
        <v>6.353150088041005</v>
      </c>
      <c r="AI52" s="243">
        <v>8.118302697999539</v>
      </c>
      <c r="AJ52" s="243">
        <v>4.5383264004581036</v>
      </c>
      <c r="AK52" s="243">
        <v>0.29405516052001701</v>
      </c>
    </row>
    <row r="53" spans="1:37" ht="15.6">
      <c r="A53" s="237">
        <v>1999</v>
      </c>
      <c r="B53" s="240">
        <v>315612.04600671644</v>
      </c>
      <c r="C53" s="240">
        <v>2321.1320668865887</v>
      </c>
      <c r="D53" s="240">
        <v>20401.139168495312</v>
      </c>
      <c r="E53" s="240">
        <v>916109.84557538445</v>
      </c>
      <c r="F53" s="240">
        <v>151846.70376506841</v>
      </c>
      <c r="G53" s="240">
        <v>202041.25307046558</v>
      </c>
      <c r="H53" s="240">
        <v>23431.216852338192</v>
      </c>
      <c r="I53" s="240">
        <v>29855.498847628078</v>
      </c>
      <c r="J53" s="240">
        <v>48672.608819945133</v>
      </c>
      <c r="K53" s="240">
        <v>41967.848344937454</v>
      </c>
      <c r="L53" s="240">
        <v>9504.4994955670627</v>
      </c>
      <c r="M53" s="240">
        <v>682014.06646247045</v>
      </c>
      <c r="N53" s="240">
        <v>93453.884470468198</v>
      </c>
      <c r="O53" s="240">
        <v>8791.9065220545308</v>
      </c>
      <c r="P53" s="240">
        <v>602.23934978125988</v>
      </c>
      <c r="Q53" s="240">
        <v>16026.814114154657</v>
      </c>
      <c r="R53" s="240">
        <v>27468.300389964257</v>
      </c>
      <c r="S53" s="240">
        <v>190526.97569582472</v>
      </c>
      <c r="T53" s="243">
        <v>-2.9869307790414155</v>
      </c>
      <c r="U53" s="243">
        <v>0.32586986229372883</v>
      </c>
      <c r="V53" s="243">
        <v>0.42688957670833361</v>
      </c>
      <c r="W53" s="243">
        <v>0.25407838420801454</v>
      </c>
      <c r="X53" s="243">
        <v>-0.54638727649782481</v>
      </c>
      <c r="Y53" s="243">
        <v>-4.2040152436996436</v>
      </c>
      <c r="Z53" s="243">
        <v>8.2221897786638038</v>
      </c>
      <c r="AA53" s="243">
        <v>-4.0523415329529371</v>
      </c>
      <c r="AB53" s="243">
        <v>-4.0523415329529371</v>
      </c>
      <c r="AC53" s="243">
        <v>3.8463577563354221</v>
      </c>
      <c r="AD53" s="243">
        <v>0.98871250876885597</v>
      </c>
      <c r="AE53" s="243">
        <v>3.7568492370414646</v>
      </c>
      <c r="AF53" s="243">
        <v>1.4949106430883603</v>
      </c>
      <c r="AG53" s="243">
        <v>-1.366079716555646</v>
      </c>
      <c r="AH53" s="243">
        <v>2.3585865317834731</v>
      </c>
      <c r="AI53" s="243">
        <v>8.0243944107753862</v>
      </c>
      <c r="AJ53" s="243">
        <v>-2.8465375479018036</v>
      </c>
      <c r="AK53" s="243">
        <v>-5.9704581464102802</v>
      </c>
    </row>
    <row r="54" spans="1:37" ht="15.6">
      <c r="A54" s="237">
        <v>2000</v>
      </c>
      <c r="B54" s="240">
        <v>313988.02241675323</v>
      </c>
      <c r="C54" s="240">
        <v>2374.6367876237055</v>
      </c>
      <c r="D54" s="240">
        <v>20912.76047753507</v>
      </c>
      <c r="E54" s="240">
        <v>955559.24500893662</v>
      </c>
      <c r="F54" s="240">
        <v>159621.65468302974</v>
      </c>
      <c r="G54" s="240">
        <v>207950.67986161596</v>
      </c>
      <c r="H54" s="240">
        <v>23853.173465639109</v>
      </c>
      <c r="I54" s="240">
        <v>31544.306454280686</v>
      </c>
      <c r="J54" s="240">
        <v>49204.017124454993</v>
      </c>
      <c r="K54" s="240">
        <v>43482.440405947666</v>
      </c>
      <c r="L54" s="240">
        <v>9570.2216491650306</v>
      </c>
      <c r="M54" s="240">
        <v>726965.43878117844</v>
      </c>
      <c r="N54" s="240">
        <v>95971.879204024939</v>
      </c>
      <c r="O54" s="240">
        <v>8588.4494464610525</v>
      </c>
      <c r="P54" s="240">
        <v>601.06710773789177</v>
      </c>
      <c r="Q54" s="240">
        <v>17132.525648867224</v>
      </c>
      <c r="R54" s="240">
        <v>27072.415899267038</v>
      </c>
      <c r="S54" s="240">
        <v>197551.59891256853</v>
      </c>
      <c r="T54" s="243">
        <v>-0.514563246400499</v>
      </c>
      <c r="U54" s="243">
        <v>2.3051131601005608</v>
      </c>
      <c r="V54" s="243">
        <v>2.5078075533636621</v>
      </c>
      <c r="W54" s="243">
        <v>4.3061866024128364</v>
      </c>
      <c r="X54" s="243">
        <v>5.1202632162436998</v>
      </c>
      <c r="Y54" s="243">
        <v>2.9248614831592761</v>
      </c>
      <c r="Z54" s="243">
        <v>1.800830985262337</v>
      </c>
      <c r="AA54" s="243">
        <v>-1.613016740854107</v>
      </c>
      <c r="AB54" s="243">
        <v>-1.613016740854107</v>
      </c>
      <c r="AC54" s="243">
        <v>3.6089342693045552</v>
      </c>
      <c r="AD54" s="243">
        <v>0.69148463449990061</v>
      </c>
      <c r="AE54" s="243">
        <v>6.5909743697612555</v>
      </c>
      <c r="AF54" s="243">
        <v>2.6943713980690092</v>
      </c>
      <c r="AG54" s="243">
        <v>-2.3141405687504175</v>
      </c>
      <c r="AH54" s="243">
        <v>-0.19464720194618224</v>
      </c>
      <c r="AI54" s="243">
        <v>6.8991349549379208</v>
      </c>
      <c r="AJ54" s="243">
        <v>-1.4412413038917435</v>
      </c>
      <c r="AK54" s="243">
        <v>3.6869441668767138</v>
      </c>
    </row>
    <row r="55" spans="1:37" ht="15.6">
      <c r="A55" s="237">
        <v>2001</v>
      </c>
      <c r="B55" s="240">
        <v>300608.05664156307</v>
      </c>
      <c r="C55" s="240">
        <v>2314.0791718803293</v>
      </c>
      <c r="D55" s="240">
        <v>21264.889734831107</v>
      </c>
      <c r="E55" s="240">
        <v>968106.87237297033</v>
      </c>
      <c r="F55" s="240">
        <v>164837.89253883113</v>
      </c>
      <c r="G55" s="240">
        <v>211439.88079987236</v>
      </c>
      <c r="H55" s="240">
        <v>24109.929629364455</v>
      </c>
      <c r="I55" s="240">
        <v>32115.015347368499</v>
      </c>
      <c r="J55" s="240">
        <v>51179.868347901516</v>
      </c>
      <c r="K55" s="240">
        <v>44496.310774132609</v>
      </c>
      <c r="L55" s="240">
        <v>9698.936301509726</v>
      </c>
      <c r="M55" s="240">
        <v>726726.80453996046</v>
      </c>
      <c r="N55" s="240">
        <v>96564.882080384035</v>
      </c>
      <c r="O55" s="240">
        <v>8516.8170790929162</v>
      </c>
      <c r="P55" s="240">
        <v>578.81581340013338</v>
      </c>
      <c r="Q55" s="240">
        <v>17846.699106197593</v>
      </c>
      <c r="R55" s="240">
        <v>26155.95888930653</v>
      </c>
      <c r="S55" s="240">
        <v>204256.96661437736</v>
      </c>
      <c r="T55" s="243">
        <v>-4.2612981451346741</v>
      </c>
      <c r="U55" s="243">
        <v>-2.550184350676048</v>
      </c>
      <c r="V55" s="243">
        <v>1.6838009390214239</v>
      </c>
      <c r="W55" s="243">
        <v>1.3131187238857507</v>
      </c>
      <c r="X55" s="243">
        <v>3.2678760699227212</v>
      </c>
      <c r="Y55" s="243">
        <v>1.677898307703714</v>
      </c>
      <c r="Z55" s="243">
        <v>1.0764025344267338</v>
      </c>
      <c r="AA55" s="243">
        <v>-5.1718861046198441</v>
      </c>
      <c r="AB55" s="243">
        <v>-5.1718861046198441</v>
      </c>
      <c r="AC55" s="243">
        <v>2.3316777041940497</v>
      </c>
      <c r="AD55" s="243">
        <v>1.3449495431061962</v>
      </c>
      <c r="AE55" s="243">
        <v>-3.282607789691383E-2</v>
      </c>
      <c r="AF55" s="243">
        <v>0.61789232562429675</v>
      </c>
      <c r="AG55" s="243">
        <v>-0.83405471284055466</v>
      </c>
      <c r="AH55" s="243">
        <v>-3.7019650636849661</v>
      </c>
      <c r="AI55" s="243">
        <v>4.1685240808472912</v>
      </c>
      <c r="AJ55" s="243">
        <v>-3.3852058618282399</v>
      </c>
      <c r="AK55" s="243">
        <v>3.3942361077909879</v>
      </c>
    </row>
    <row r="56" spans="1:37" ht="15.6">
      <c r="A56" s="237">
        <v>2002</v>
      </c>
      <c r="B56" s="240">
        <v>268151.13992538594</v>
      </c>
      <c r="C56" s="240">
        <v>2329.6441815493085</v>
      </c>
      <c r="D56" s="240">
        <v>21793.442358857741</v>
      </c>
      <c r="E56" s="240">
        <v>993840.06615792203</v>
      </c>
      <c r="F56" s="240">
        <v>169272.24311415679</v>
      </c>
      <c r="G56" s="240">
        <v>216734.29411137456</v>
      </c>
      <c r="H56" s="240">
        <v>24809.643641279727</v>
      </c>
      <c r="I56" s="240">
        <v>33973.899013988448</v>
      </c>
      <c r="J56" s="240">
        <v>53276.593248410303</v>
      </c>
      <c r="K56" s="240">
        <v>46216.816920301884</v>
      </c>
      <c r="L56" s="240">
        <v>9793.0549244932954</v>
      </c>
      <c r="M56" s="240">
        <v>732336.7537054054</v>
      </c>
      <c r="N56" s="240">
        <v>101831.07586876462</v>
      </c>
      <c r="O56" s="240">
        <v>8514.9941056578118</v>
      </c>
      <c r="P56" s="240">
        <v>578.73961935754915</v>
      </c>
      <c r="Q56" s="240">
        <v>19263.139794825609</v>
      </c>
      <c r="R56" s="240">
        <v>23270.470094906992</v>
      </c>
      <c r="S56" s="240">
        <v>186168.68995734322</v>
      </c>
      <c r="T56" s="243">
        <v>-10.797088101626599</v>
      </c>
      <c r="U56" s="243">
        <v>0.67262217551234471</v>
      </c>
      <c r="V56" s="243">
        <v>2.4855648471145457</v>
      </c>
      <c r="W56" s="243">
        <v>2.6580943198839009</v>
      </c>
      <c r="X56" s="243">
        <v>2.6901281659379634</v>
      </c>
      <c r="Y56" s="243">
        <v>2.5039804654985289</v>
      </c>
      <c r="Z56" s="243">
        <v>2.9021818921572446</v>
      </c>
      <c r="AA56" s="243">
        <v>-11.513728846354411</v>
      </c>
      <c r="AB56" s="243">
        <v>-11.513728846354411</v>
      </c>
      <c r="AC56" s="243">
        <v>3.8666265050662787</v>
      </c>
      <c r="AD56" s="243">
        <v>0.97040149618179328</v>
      </c>
      <c r="AE56" s="243">
        <v>0.77194746779653656</v>
      </c>
      <c r="AF56" s="243">
        <v>5.4535289381877163</v>
      </c>
      <c r="AG56" s="243">
        <v>-2.1404398124019508E-2</v>
      </c>
      <c r="AH56" s="243">
        <v>-1.3163780397889013E-2</v>
      </c>
      <c r="AI56" s="243">
        <v>7.9367096413707685</v>
      </c>
      <c r="AJ56" s="243">
        <v>-11.031860107331894</v>
      </c>
      <c r="AK56" s="243">
        <v>-8.8556473528677913</v>
      </c>
    </row>
    <row r="57" spans="1:37" ht="15.6">
      <c r="A57" s="237">
        <v>2003</v>
      </c>
      <c r="B57" s="240">
        <v>289332.26674883295</v>
      </c>
      <c r="C57" s="240">
        <v>2375.609600728018</v>
      </c>
      <c r="D57" s="240">
        <v>22384.336833011082</v>
      </c>
      <c r="E57" s="240">
        <v>1005235.6313166145</v>
      </c>
      <c r="F57" s="240">
        <v>175657.85319560979</v>
      </c>
      <c r="G57" s="240">
        <v>225226.53306302446</v>
      </c>
      <c r="H57" s="240">
        <v>26398.579780193315</v>
      </c>
      <c r="I57" s="240">
        <v>33887.823149281525</v>
      </c>
      <c r="J57" s="240">
        <v>54727.249531872811</v>
      </c>
      <c r="K57" s="240">
        <v>47386.467477081555</v>
      </c>
      <c r="L57" s="240">
        <v>10152.100931522727</v>
      </c>
      <c r="M57" s="240">
        <v>742518.16917559283</v>
      </c>
      <c r="N57" s="240">
        <v>106072.36373900957</v>
      </c>
      <c r="O57" s="240">
        <v>8882.9053291803029</v>
      </c>
      <c r="P57" s="240">
        <v>606.55504558702637</v>
      </c>
      <c r="Q57" s="240">
        <v>22043.493704289849</v>
      </c>
      <c r="R57" s="240">
        <v>23776.590138131931</v>
      </c>
      <c r="S57" s="240">
        <v>171730.74945274409</v>
      </c>
      <c r="T57" s="243">
        <v>7.8989508787248468</v>
      </c>
      <c r="U57" s="243">
        <v>1.9730660820546717</v>
      </c>
      <c r="V57" s="243">
        <v>2.7113407070965962</v>
      </c>
      <c r="W57" s="243">
        <v>1.1466196168510692</v>
      </c>
      <c r="X57" s="243">
        <v>3.7723905372640161</v>
      </c>
      <c r="Y57" s="243">
        <v>3.9182719036083569</v>
      </c>
      <c r="Z57" s="243">
        <v>6.4045101247235436</v>
      </c>
      <c r="AA57" s="243">
        <v>6.9492530956955676</v>
      </c>
      <c r="AB57" s="243">
        <v>6.9492530956955676</v>
      </c>
      <c r="AC57" s="243">
        <v>2.5307899477297724</v>
      </c>
      <c r="AD57" s="243">
        <v>3.6663330268007286</v>
      </c>
      <c r="AE57" s="243">
        <v>1.3902641672253253</v>
      </c>
      <c r="AF57" s="243">
        <v>4.165023136661091</v>
      </c>
      <c r="AG57" s="243">
        <v>4.3207454868116884</v>
      </c>
      <c r="AH57" s="243">
        <v>4.806207368411151</v>
      </c>
      <c r="AI57" s="243">
        <v>14.433544785939262</v>
      </c>
      <c r="AJ57" s="243">
        <v>2.1749455045848407</v>
      </c>
      <c r="AK57" s="243">
        <v>-7.7553000495987305</v>
      </c>
    </row>
    <row r="58" spans="1:37" ht="15.6">
      <c r="A58" s="237">
        <v>2004</v>
      </c>
      <c r="B58" s="240">
        <v>310422.62390850217</v>
      </c>
      <c r="C58" s="240">
        <v>2409.6580593789095</v>
      </c>
      <c r="D58" s="240">
        <v>23318.501090193047</v>
      </c>
      <c r="E58" s="240">
        <v>1062657.6344433923</v>
      </c>
      <c r="F58" s="240">
        <v>187982.24047797738</v>
      </c>
      <c r="G58" s="240">
        <v>237237.91377303735</v>
      </c>
      <c r="H58" s="240">
        <v>27523.015911552651</v>
      </c>
      <c r="I58" s="240">
        <v>34332.417229785169</v>
      </c>
      <c r="J58" s="240">
        <v>59220.915438419943</v>
      </c>
      <c r="K58" s="240">
        <v>48880.127728099746</v>
      </c>
      <c r="L58" s="240">
        <v>10286.483200809285</v>
      </c>
      <c r="M58" s="240">
        <v>773777.85365143954</v>
      </c>
      <c r="N58" s="240">
        <v>111331.64707872177</v>
      </c>
      <c r="O58" s="240">
        <v>9243.3219612302</v>
      </c>
      <c r="P58" s="240">
        <v>655.82325131029097</v>
      </c>
      <c r="Q58" s="240">
        <v>23797.510919260352</v>
      </c>
      <c r="R58" s="240">
        <v>26586.982733508768</v>
      </c>
      <c r="S58" s="240">
        <v>203134.47616945306</v>
      </c>
      <c r="T58" s="243">
        <v>7.2893208201965365</v>
      </c>
      <c r="U58" s="243">
        <v>1.4332514332513711</v>
      </c>
      <c r="V58" s="243">
        <v>4.1732943180354312</v>
      </c>
      <c r="W58" s="243">
        <v>5.7122928533252377</v>
      </c>
      <c r="X58" s="243">
        <v>7.0161322469558769</v>
      </c>
      <c r="Y58" s="243">
        <v>5.3330220674540953</v>
      </c>
      <c r="Z58" s="243">
        <v>4.2594569129169315</v>
      </c>
      <c r="AA58" s="243">
        <v>6.1678709124242062</v>
      </c>
      <c r="AB58" s="243">
        <v>6.1678709124242062</v>
      </c>
      <c r="AC58" s="243">
        <v>3.1520818717719408</v>
      </c>
      <c r="AD58" s="243">
        <v>1.3236892559774986</v>
      </c>
      <c r="AE58" s="243">
        <v>4.2099554965171961</v>
      </c>
      <c r="AF58" s="243">
        <v>4.9582032061175028</v>
      </c>
      <c r="AG58" s="243">
        <v>4.0574183636285142</v>
      </c>
      <c r="AH58" s="243">
        <v>8.1226273001459646</v>
      </c>
      <c r="AI58" s="243">
        <v>7.9570744932739785</v>
      </c>
      <c r="AJ58" s="243">
        <v>11.819998490320287</v>
      </c>
      <c r="AK58" s="243">
        <v>18.286606689124412</v>
      </c>
    </row>
    <row r="59" spans="1:37" ht="15.6">
      <c r="A59" s="237">
        <v>2005</v>
      </c>
      <c r="B59" s="240">
        <v>336666.79371862154</v>
      </c>
      <c r="C59" s="240">
        <v>2505.9665567057227</v>
      </c>
      <c r="D59" s="240">
        <v>24349.513404531353</v>
      </c>
      <c r="E59" s="240">
        <v>1096234.1484257984</v>
      </c>
      <c r="F59" s="240">
        <v>199593.36523849293</v>
      </c>
      <c r="G59" s="240">
        <v>248403.64888101889</v>
      </c>
      <c r="H59" s="240">
        <v>29143.124183971056</v>
      </c>
      <c r="I59" s="240">
        <v>37512.543231466181</v>
      </c>
      <c r="J59" s="240">
        <v>62354.476632802638</v>
      </c>
      <c r="K59" s="240">
        <v>50473.674154323453</v>
      </c>
      <c r="L59" s="240">
        <v>10378.425173916876</v>
      </c>
      <c r="M59" s="240">
        <v>797576.26134449872</v>
      </c>
      <c r="N59" s="240">
        <v>118328.90825854262</v>
      </c>
      <c r="O59" s="240">
        <v>9440.5273723723421</v>
      </c>
      <c r="P59" s="240">
        <v>644.80543987598526</v>
      </c>
      <c r="Q59" s="240">
        <v>25077.646997814983</v>
      </c>
      <c r="R59" s="240">
        <v>28348.012215748891</v>
      </c>
      <c r="S59" s="240">
        <v>224093.71632746301</v>
      </c>
      <c r="T59" s="243">
        <v>8.4543354088311844</v>
      </c>
      <c r="U59" s="243">
        <v>3.996770286637144</v>
      </c>
      <c r="V59" s="243">
        <v>4.4214347669709895</v>
      </c>
      <c r="W59" s="243">
        <v>3.1596737174897527</v>
      </c>
      <c r="X59" s="243">
        <v>6.1767136783731615</v>
      </c>
      <c r="Y59" s="243">
        <v>4.7065559338309129</v>
      </c>
      <c r="Z59" s="243">
        <v>5.8863762518786018</v>
      </c>
      <c r="AA59" s="243">
        <v>7.237991920038624</v>
      </c>
      <c r="AB59" s="243">
        <v>7.237991920038624</v>
      </c>
      <c r="AC59" s="243">
        <v>3.2601110109367113</v>
      </c>
      <c r="AD59" s="243">
        <v>0.8938134765082566</v>
      </c>
      <c r="AE59" s="243">
        <v>3.075612410041856</v>
      </c>
      <c r="AF59" s="243">
        <v>6.2850603250961967</v>
      </c>
      <c r="AG59" s="243">
        <v>2.1334906646040395</v>
      </c>
      <c r="AH59" s="243">
        <v>-1.6799970742563488</v>
      </c>
      <c r="AI59" s="243">
        <v>5.3792856021701141</v>
      </c>
      <c r="AJ59" s="243">
        <v>6.6236530105412044</v>
      </c>
      <c r="AK59" s="243">
        <v>10.3179138043145</v>
      </c>
    </row>
    <row r="60" spans="1:37" ht="15.6">
      <c r="A60" s="237">
        <v>2006</v>
      </c>
      <c r="B60" s="240">
        <v>362985.90328415512</v>
      </c>
      <c r="C60" s="240">
        <v>2648.9700830394677</v>
      </c>
      <c r="D60" s="240">
        <v>25517.56179560937</v>
      </c>
      <c r="E60" s="240">
        <v>1139612.5180123625</v>
      </c>
      <c r="F60" s="240">
        <v>210958.88162871724</v>
      </c>
      <c r="G60" s="240">
        <v>265040.5211655217</v>
      </c>
      <c r="H60" s="240">
        <v>31701.784627677465</v>
      </c>
      <c r="I60" s="240">
        <v>41515.564806518087</v>
      </c>
      <c r="J60" s="240">
        <v>65100.272494005658</v>
      </c>
      <c r="K60" s="240">
        <v>53189.045148527439</v>
      </c>
      <c r="L60" s="240">
        <v>10676.549298558088</v>
      </c>
      <c r="M60" s="240">
        <v>837266.10678872571</v>
      </c>
      <c r="N60" s="240">
        <v>127237.77230126612</v>
      </c>
      <c r="O60" s="240">
        <v>9894.344586771871</v>
      </c>
      <c r="P60" s="240">
        <v>697.75790374732014</v>
      </c>
      <c r="Q60" s="240">
        <v>28691.003169525473</v>
      </c>
      <c r="R60" s="240">
        <v>29509.87743725898</v>
      </c>
      <c r="S60" s="240">
        <v>246216.58214611298</v>
      </c>
      <c r="T60" s="243">
        <v>7.8175543464884925</v>
      </c>
      <c r="U60" s="243">
        <v>5.7065217391302241</v>
      </c>
      <c r="V60" s="243">
        <v>4.7970091708717604</v>
      </c>
      <c r="W60" s="243">
        <v>3.9570350594219121</v>
      </c>
      <c r="X60" s="243">
        <v>5.694335769449907</v>
      </c>
      <c r="Y60" s="243">
        <v>6.6975152577052484</v>
      </c>
      <c r="Z60" s="243">
        <v>8.7796367594442444</v>
      </c>
      <c r="AA60" s="243">
        <v>6.6385988811919106</v>
      </c>
      <c r="AB60" s="243">
        <v>6.6385988811919106</v>
      </c>
      <c r="AC60" s="243">
        <v>5.3797767642231236</v>
      </c>
      <c r="AD60" s="243">
        <v>2.8725372071907458</v>
      </c>
      <c r="AE60" s="243">
        <v>4.9763072658808341</v>
      </c>
      <c r="AF60" s="243">
        <v>7.5288990440595285</v>
      </c>
      <c r="AG60" s="243">
        <v>4.8071171927070822</v>
      </c>
      <c r="AH60" s="243">
        <v>8.2121614671115708</v>
      </c>
      <c r="AI60" s="243">
        <v>14.408673078560042</v>
      </c>
      <c r="AJ60" s="243">
        <v>4.0985773981874019</v>
      </c>
      <c r="AK60" s="243">
        <v>9.8721491085106265</v>
      </c>
    </row>
    <row r="61" spans="1:37" ht="15.6">
      <c r="A61" s="237">
        <v>2007</v>
      </c>
      <c r="B61" s="240">
        <v>391888.76568752254</v>
      </c>
      <c r="C61" s="240">
        <v>2693.233079285631</v>
      </c>
      <c r="D61" s="240">
        <v>26682.280985027955</v>
      </c>
      <c r="E61" s="240">
        <v>1209030.9964350509</v>
      </c>
      <c r="F61" s="240">
        <v>221846.10139064389</v>
      </c>
      <c r="G61" s="240">
        <v>283329.98066711874</v>
      </c>
      <c r="H61" s="240">
        <v>34217.429813241484</v>
      </c>
      <c r="I61" s="240">
        <v>45033.853148457267</v>
      </c>
      <c r="J61" s="240">
        <v>66526.010107730501</v>
      </c>
      <c r="K61" s="240">
        <v>56542.112626593844</v>
      </c>
      <c r="L61" s="240">
        <v>10829.598887152768</v>
      </c>
      <c r="M61" s="240">
        <v>864266.57538390276</v>
      </c>
      <c r="N61" s="240">
        <v>138076.37913464638</v>
      </c>
      <c r="O61" s="240">
        <v>10430.778635942781</v>
      </c>
      <c r="P61" s="240">
        <v>694.49748908637673</v>
      </c>
      <c r="Q61" s="240">
        <v>29973.76832380335</v>
      </c>
      <c r="R61" s="240">
        <v>31440.269271483594</v>
      </c>
      <c r="S61" s="240">
        <v>267769.34470228816</v>
      </c>
      <c r="T61" s="243">
        <v>7.9625302640861833</v>
      </c>
      <c r="U61" s="243">
        <v>1.6709511568124356</v>
      </c>
      <c r="V61" s="243">
        <v>4.5643827523481804</v>
      </c>
      <c r="W61" s="243">
        <v>6.0914106615609569</v>
      </c>
      <c r="X61" s="243">
        <v>5.1608255020463787</v>
      </c>
      <c r="Y61" s="243">
        <v>6.9006276554123502</v>
      </c>
      <c r="Z61" s="243">
        <v>7.935342489733884</v>
      </c>
      <c r="AA61" s="243">
        <v>6.7915348513585059</v>
      </c>
      <c r="AB61" s="243">
        <v>6.7915348513585059</v>
      </c>
      <c r="AC61" s="243">
        <v>6.3040565377760629</v>
      </c>
      <c r="AD61" s="243">
        <v>1.4335117491130802</v>
      </c>
      <c r="AE61" s="243">
        <v>3.2248371666130566</v>
      </c>
      <c r="AF61" s="243">
        <v>8.518387769095213</v>
      </c>
      <c r="AG61" s="243">
        <v>5.4216228722020503</v>
      </c>
      <c r="AH61" s="243">
        <v>-0.46727018689909983</v>
      </c>
      <c r="AI61" s="243">
        <v>4.4709665489855723</v>
      </c>
      <c r="AJ61" s="243">
        <v>6.541510849473454</v>
      </c>
      <c r="AK61" s="243">
        <v>8.7535788078583039</v>
      </c>
    </row>
    <row r="62" spans="1:37" ht="15.6">
      <c r="A62" s="237">
        <v>2008</v>
      </c>
      <c r="B62" s="240">
        <v>405666.60318669019</v>
      </c>
      <c r="C62" s="240">
        <v>2702.4748037765848</v>
      </c>
      <c r="D62" s="240">
        <v>28322.840282958099</v>
      </c>
      <c r="E62" s="240">
        <v>1271557.2123931432</v>
      </c>
      <c r="F62" s="240">
        <v>229150.28520940265</v>
      </c>
      <c r="G62" s="240">
        <v>293379.1422643027</v>
      </c>
      <c r="H62" s="240">
        <v>35152.121455331711</v>
      </c>
      <c r="I62" s="240">
        <v>46449.58754927916</v>
      </c>
      <c r="J62" s="240">
        <v>70755.155453187122</v>
      </c>
      <c r="K62" s="240">
        <v>58397.304471271149</v>
      </c>
      <c r="L62" s="240">
        <v>10752.268461701482</v>
      </c>
      <c r="M62" s="240">
        <v>876192.96174502792</v>
      </c>
      <c r="N62" s="240">
        <v>150700.90504577314</v>
      </c>
      <c r="O62" s="240">
        <v>11094.084449078597</v>
      </c>
      <c r="P62" s="240">
        <v>718.71709467883397</v>
      </c>
      <c r="Q62" s="240">
        <v>30990.405578655245</v>
      </c>
      <c r="R62" s="240">
        <v>33696.468476223898</v>
      </c>
      <c r="S62" s="240">
        <v>281901.82010443299</v>
      </c>
      <c r="T62" s="243">
        <v>3.5157520974085799</v>
      </c>
      <c r="U62" s="243">
        <v>0.34314610800061018</v>
      </c>
      <c r="V62" s="243">
        <v>6.1484971950138032</v>
      </c>
      <c r="W62" s="243">
        <v>5.1715974315346074</v>
      </c>
      <c r="X62" s="243">
        <v>3.2924553431286085</v>
      </c>
      <c r="Y62" s="243">
        <v>3.5468048857810714</v>
      </c>
      <c r="Z62" s="243">
        <v>2.7316243423067306</v>
      </c>
      <c r="AA62" s="243">
        <v>2.4080705910496363</v>
      </c>
      <c r="AB62" s="243">
        <v>2.4080705910496363</v>
      </c>
      <c r="AC62" s="243">
        <v>3.2810798155510383</v>
      </c>
      <c r="AD62" s="243">
        <v>-0.71406546315417074</v>
      </c>
      <c r="AE62" s="243">
        <v>1.3799430292473716</v>
      </c>
      <c r="AF62" s="243">
        <v>9.1431467063717236</v>
      </c>
      <c r="AG62" s="243">
        <v>6.359120793247115</v>
      </c>
      <c r="AH62" s="243">
        <v>3.4873568260583028</v>
      </c>
      <c r="AI62" s="243">
        <v>3.3917565648378769</v>
      </c>
      <c r="AJ62" s="243">
        <v>7.1761446610340727</v>
      </c>
      <c r="AK62" s="243">
        <v>5.2778541239878081</v>
      </c>
    </row>
    <row r="63" spans="1:37" ht="15.6">
      <c r="A63" s="237">
        <v>2009</v>
      </c>
      <c r="B63" s="240">
        <v>389474.94707897119</v>
      </c>
      <c r="C63" s="240">
        <v>2590.6012967807978</v>
      </c>
      <c r="D63" s="240">
        <v>29273.638387824845</v>
      </c>
      <c r="E63" s="240">
        <v>1267364.5382333989</v>
      </c>
      <c r="F63" s="240">
        <v>226775.29881029294</v>
      </c>
      <c r="G63" s="240">
        <v>298224.44327420864</v>
      </c>
      <c r="H63" s="240">
        <v>34795.072970600158</v>
      </c>
      <c r="I63" s="240">
        <v>46884.254101363869</v>
      </c>
      <c r="J63" s="240">
        <v>71155.977459806716</v>
      </c>
      <c r="K63" s="240">
        <v>58704.499413994279</v>
      </c>
      <c r="L63" s="240">
        <v>10275.038700710887</v>
      </c>
      <c r="M63" s="240">
        <v>834629.24202966876</v>
      </c>
      <c r="N63" s="240">
        <v>152282.10208171647</v>
      </c>
      <c r="O63" s="240">
        <v>10654.126845299386</v>
      </c>
      <c r="P63" s="240">
        <v>723.36549607776669</v>
      </c>
      <c r="Q63" s="240">
        <v>29629.39387508752</v>
      </c>
      <c r="R63" s="240">
        <v>34488.759565233748</v>
      </c>
      <c r="S63" s="240">
        <v>272874.47062771599</v>
      </c>
      <c r="T63" s="243">
        <v>-3.9913702485061293</v>
      </c>
      <c r="U63" s="243">
        <v>-4.1396688264937325</v>
      </c>
      <c r="V63" s="243">
        <v>3.3570012589409828</v>
      </c>
      <c r="W63" s="243">
        <v>-0.32972752770230329</v>
      </c>
      <c r="X63" s="243">
        <v>-1.036431788395717</v>
      </c>
      <c r="Y63" s="243">
        <v>1.6515492452905391</v>
      </c>
      <c r="Z63" s="243">
        <v>-1.0157238594696452</v>
      </c>
      <c r="AA63" s="243">
        <v>-5.0041385378823122</v>
      </c>
      <c r="AB63" s="243">
        <v>-5.0041385378823122</v>
      </c>
      <c r="AC63" s="243">
        <v>0.52604301774623252</v>
      </c>
      <c r="AD63" s="243">
        <v>-4.4384100219450318</v>
      </c>
      <c r="AE63" s="243">
        <v>-4.7436719455701564</v>
      </c>
      <c r="AF63" s="243">
        <v>1.0492286263729369</v>
      </c>
      <c r="AG63" s="243">
        <v>-3.9656954640880713</v>
      </c>
      <c r="AH63" s="243">
        <v>0.64676371737198224</v>
      </c>
      <c r="AI63" s="243">
        <v>-4.3917195601503352</v>
      </c>
      <c r="AJ63" s="243">
        <v>2.3512585289728207</v>
      </c>
      <c r="AK63" s="243">
        <v>-3.2023026574900229</v>
      </c>
    </row>
    <row r="64" spans="1:37" ht="15.6">
      <c r="A64" s="237">
        <v>2010</v>
      </c>
      <c r="B64" s="240">
        <v>423334.45225005556</v>
      </c>
      <c r="C64" s="240">
        <v>2597.1677852348976</v>
      </c>
      <c r="D64" s="240">
        <v>30481.680228678997</v>
      </c>
      <c r="E64" s="240">
        <v>1362843.8282318905</v>
      </c>
      <c r="F64" s="240">
        <v>239823.28953894431</v>
      </c>
      <c r="G64" s="240">
        <v>310069.32381387311</v>
      </c>
      <c r="H64" s="240">
        <v>36518.932650608243</v>
      </c>
      <c r="I64" s="240">
        <v>50776.656516162126</v>
      </c>
      <c r="J64" s="240">
        <v>73664.438186068757</v>
      </c>
      <c r="K64" s="240">
        <v>60389.017825821044</v>
      </c>
      <c r="L64" s="240">
        <v>10122.860936864114</v>
      </c>
      <c r="M64" s="240">
        <v>878022.66487672902</v>
      </c>
      <c r="N64" s="240">
        <v>165151.08511448797</v>
      </c>
      <c r="O64" s="240">
        <v>12049.071835387413</v>
      </c>
      <c r="P64" s="240">
        <v>715.84458836377223</v>
      </c>
      <c r="Q64" s="240">
        <v>29691.926574839788</v>
      </c>
      <c r="R64" s="240">
        <v>37387.225070331842</v>
      </c>
      <c r="S64" s="240">
        <v>268811.93938338966</v>
      </c>
      <c r="T64" s="243">
        <v>8.6936285440251737</v>
      </c>
      <c r="U64" s="243">
        <v>0.25347352609834672</v>
      </c>
      <c r="V64" s="243">
        <v>4.126722564683277</v>
      </c>
      <c r="W64" s="243">
        <v>7.5336879893753235</v>
      </c>
      <c r="X64" s="243">
        <v>5.7537089784926536</v>
      </c>
      <c r="Y64" s="243">
        <v>3.9718007047374897</v>
      </c>
      <c r="Z64" s="243">
        <v>4.9543212093983868</v>
      </c>
      <c r="AA64" s="243">
        <v>7.5641409986801023</v>
      </c>
      <c r="AB64" s="243">
        <v>7.5641409986801023</v>
      </c>
      <c r="AC64" s="243">
        <v>2.8694877371276988</v>
      </c>
      <c r="AD64" s="243">
        <v>-1.4810432182240305</v>
      </c>
      <c r="AE64" s="243">
        <v>5.1991256311048062</v>
      </c>
      <c r="AF64" s="243">
        <v>8.4507521611869123</v>
      </c>
      <c r="AG64" s="243">
        <v>13.093001522724308</v>
      </c>
      <c r="AH64" s="243">
        <v>-1.0397105964791535</v>
      </c>
      <c r="AI64" s="243">
        <v>0.21104954092511718</v>
      </c>
      <c r="AJ64" s="243">
        <v>8.4040874233699157</v>
      </c>
      <c r="AK64" s="243">
        <v>-1.4887912507831658</v>
      </c>
    </row>
    <row r="65" spans="1:37" ht="15.6">
      <c r="A65" s="237">
        <v>2011</v>
      </c>
      <c r="B65" s="240">
        <v>445627.24968043459</v>
      </c>
      <c r="C65" s="240">
        <v>2616.8672505972027</v>
      </c>
      <c r="D65" s="240">
        <v>32058.7807709523</v>
      </c>
      <c r="E65" s="240">
        <v>1400087.695806524</v>
      </c>
      <c r="F65" s="240">
        <v>253828.10744087773</v>
      </c>
      <c r="G65" s="240">
        <v>330501.37761284219</v>
      </c>
      <c r="H65" s="240">
        <v>38166.017051937793</v>
      </c>
      <c r="I65" s="240">
        <v>52263.051603692249</v>
      </c>
      <c r="J65" s="240">
        <v>79460.459989819297</v>
      </c>
      <c r="K65" s="240">
        <v>62902.438305856456</v>
      </c>
      <c r="L65" s="240">
        <v>10295.025716716509</v>
      </c>
      <c r="M65" s="240">
        <v>912437.49405658909</v>
      </c>
      <c r="N65" s="240">
        <v>175806.99696119761</v>
      </c>
      <c r="O65" s="240">
        <v>12572.291597532383</v>
      </c>
      <c r="P65" s="240">
        <v>724.73240324312542</v>
      </c>
      <c r="Q65" s="240">
        <v>28925.559157449577</v>
      </c>
      <c r="R65" s="240">
        <v>40131.889884601922</v>
      </c>
      <c r="S65" s="240">
        <v>280038.66938846011</v>
      </c>
      <c r="T65" s="243">
        <v>5.2660012224119868</v>
      </c>
      <c r="U65" s="243">
        <v>0.7584979867029773</v>
      </c>
      <c r="V65" s="243">
        <v>5.173929161521329</v>
      </c>
      <c r="W65" s="243">
        <v>2.732805241738717</v>
      </c>
      <c r="X65" s="243">
        <v>5.8396404823140529</v>
      </c>
      <c r="Y65" s="243">
        <v>6.5895115155712602</v>
      </c>
      <c r="Z65" s="243">
        <v>4.5102205398166717</v>
      </c>
      <c r="AA65" s="243">
        <v>4.1910939756804737</v>
      </c>
      <c r="AB65" s="243">
        <v>4.1910939756804737</v>
      </c>
      <c r="AC65" s="243">
        <v>4.1620489461922148</v>
      </c>
      <c r="AD65" s="243">
        <v>1.7007521976858158</v>
      </c>
      <c r="AE65" s="243">
        <v>3.9195832358942369</v>
      </c>
      <c r="AF65" s="243">
        <v>6.4522203044095221</v>
      </c>
      <c r="AG65" s="243">
        <v>4.3424071936255331</v>
      </c>
      <c r="AH65" s="243">
        <v>1.2415844198345241</v>
      </c>
      <c r="AI65" s="243">
        <v>-2.5810632915939209</v>
      </c>
      <c r="AJ65" s="243">
        <v>7.341183543595136</v>
      </c>
      <c r="AK65" s="243">
        <v>4.1764253592391469</v>
      </c>
    </row>
    <row r="66" spans="1:37" ht="15.6">
      <c r="A66" s="237">
        <v>2012</v>
      </c>
      <c r="B66" s="240">
        <v>440310.00595281838</v>
      </c>
      <c r="C66" s="240">
        <v>2623.3208927311989</v>
      </c>
      <c r="D66" s="240">
        <v>33718.28162673692</v>
      </c>
      <c r="E66" s="240">
        <v>1414523.0945196853</v>
      </c>
      <c r="F66" s="240">
        <v>267679.83883567801</v>
      </c>
      <c r="G66" s="240">
        <v>343883.46367260476</v>
      </c>
      <c r="H66" s="240">
        <v>40125.403854963137</v>
      </c>
      <c r="I66" s="240">
        <v>53652.402406548536</v>
      </c>
      <c r="J66" s="240">
        <v>83608.570749902559</v>
      </c>
      <c r="K66" s="240">
        <v>64770.551041574356</v>
      </c>
      <c r="L66" s="240">
        <v>10236.642591015947</v>
      </c>
      <c r="M66" s="240">
        <v>949191.19186048105</v>
      </c>
      <c r="N66" s="240">
        <v>186268.12053606569</v>
      </c>
      <c r="O66" s="240">
        <v>12416.524947142458</v>
      </c>
      <c r="P66" s="240">
        <v>713.15401875787995</v>
      </c>
      <c r="Q66" s="240">
        <v>29285.614104929598</v>
      </c>
      <c r="R66" s="240">
        <v>41607.2855986164</v>
      </c>
      <c r="S66" s="240">
        <v>295793.52444185939</v>
      </c>
      <c r="T66" s="243">
        <v>-1.1932043499200944</v>
      </c>
      <c r="U66" s="243">
        <v>0.24661710037156581</v>
      </c>
      <c r="V66" s="243">
        <v>5.1764315918347563</v>
      </c>
      <c r="W66" s="243">
        <v>1.0310353241727199</v>
      </c>
      <c r="X66" s="243">
        <v>5.4571306284614991</v>
      </c>
      <c r="Y66" s="243">
        <v>4.0490258032868809</v>
      </c>
      <c r="Z66" s="243">
        <v>5.1338519300008016</v>
      </c>
      <c r="AA66" s="243">
        <v>-2.1832465925851778</v>
      </c>
      <c r="AB66" s="243">
        <v>-2.1832465925851778</v>
      </c>
      <c r="AC66" s="243">
        <v>2.9698574268844737</v>
      </c>
      <c r="AD66" s="243">
        <v>-0.56710033862044895</v>
      </c>
      <c r="AE66" s="243">
        <v>4.0280784210751079</v>
      </c>
      <c r="AF66" s="243">
        <v>5.9503454104144424</v>
      </c>
      <c r="AG66" s="243">
        <v>-1.2389678459295226</v>
      </c>
      <c r="AH66" s="243">
        <v>-1.5976082252474129</v>
      </c>
      <c r="AI66" s="243">
        <v>1.2447640010004477</v>
      </c>
      <c r="AJ66" s="243">
        <v>3.676367393254921</v>
      </c>
      <c r="AK66" s="243">
        <v>5.6259569750864387</v>
      </c>
    </row>
    <row r="67" spans="1:37" ht="15.6">
      <c r="A67" s="237">
        <v>2013</v>
      </c>
      <c r="B67" s="240">
        <v>448627.43104741664</v>
      </c>
      <c r="C67" s="240">
        <v>2630.9261023774293</v>
      </c>
      <c r="D67" s="240">
        <v>36002.738833615229</v>
      </c>
      <c r="E67" s="240">
        <v>1449785.7979889633</v>
      </c>
      <c r="F67" s="240">
        <v>278992.4990890302</v>
      </c>
      <c r="G67" s="240">
        <v>359970.44723661646</v>
      </c>
      <c r="H67" s="240">
        <v>41528.704929489628</v>
      </c>
      <c r="I67" s="240">
        <v>56112.086400057182</v>
      </c>
      <c r="J67" s="240">
        <v>87489.322938566052</v>
      </c>
      <c r="K67" s="240">
        <v>67154.134491527526</v>
      </c>
      <c r="L67" s="240">
        <v>10294.132783932888</v>
      </c>
      <c r="M67" s="240">
        <v>962870.7556942025</v>
      </c>
      <c r="N67" s="240">
        <v>196992.27306337454</v>
      </c>
      <c r="O67" s="240">
        <v>14159.342749445286</v>
      </c>
      <c r="P67" s="240">
        <v>710.07352287003346</v>
      </c>
      <c r="Q67" s="240">
        <v>29766.065343666083</v>
      </c>
      <c r="R67" s="240">
        <v>43436.590270507084</v>
      </c>
      <c r="S67" s="240">
        <v>299766.30962773273</v>
      </c>
      <c r="T67" s="243">
        <v>1.8889929781630883</v>
      </c>
      <c r="U67" s="243">
        <v>0.28990771458052222</v>
      </c>
      <c r="V67" s="243">
        <v>6.7751293857954096</v>
      </c>
      <c r="W67" s="243">
        <v>2.4929040470174755</v>
      </c>
      <c r="X67" s="243">
        <v>4.2261906247996279</v>
      </c>
      <c r="Y67" s="243">
        <v>4.6780334803558219</v>
      </c>
      <c r="Z67" s="243">
        <v>3.497288350290134</v>
      </c>
      <c r="AA67" s="243">
        <v>0.88833028503118783</v>
      </c>
      <c r="AB67" s="243">
        <v>0.88833028503118783</v>
      </c>
      <c r="AC67" s="243">
        <v>3.6800419505821651</v>
      </c>
      <c r="AD67" s="243">
        <v>0.56161180197300098</v>
      </c>
      <c r="AE67" s="243">
        <v>1.4411810761653356</v>
      </c>
      <c r="AF67" s="243">
        <v>5.7573740994677678</v>
      </c>
      <c r="AG67" s="243">
        <v>14.036276733804826</v>
      </c>
      <c r="AH67" s="243">
        <v>-0.43195380055655619</v>
      </c>
      <c r="AI67" s="243">
        <v>1.6405708175182525</v>
      </c>
      <c r="AJ67" s="243">
        <v>4.3965970035582274</v>
      </c>
      <c r="AK67" s="243">
        <v>1.3430940360745609</v>
      </c>
    </row>
    <row r="68" spans="1:37" ht="15.6">
      <c r="A68" s="237">
        <v>2014</v>
      </c>
      <c r="B68" s="240">
        <v>439654.88242646831</v>
      </c>
      <c r="C68" s="240">
        <v>2623.5908065529566</v>
      </c>
      <c r="D68" s="240">
        <v>37968.692564790632</v>
      </c>
      <c r="E68" s="240">
        <v>1451883.7446362064</v>
      </c>
      <c r="F68" s="240">
        <v>284276.75395957893</v>
      </c>
      <c r="G68" s="240">
        <v>376358.10541672446</v>
      </c>
      <c r="H68" s="240">
        <v>42983.186453195376</v>
      </c>
      <c r="I68" s="240">
        <v>60208.272047627339</v>
      </c>
      <c r="J68" s="240">
        <v>90815.73710783133</v>
      </c>
      <c r="K68" s="240">
        <v>70007.989064129346</v>
      </c>
      <c r="L68" s="240">
        <v>10348.032152853797</v>
      </c>
      <c r="M68" s="240">
        <v>983329.41348747781</v>
      </c>
      <c r="N68" s="240">
        <v>201621.26327506849</v>
      </c>
      <c r="O68" s="240">
        <v>14827.994170173819</v>
      </c>
      <c r="P68" s="240">
        <v>702.24362875154929</v>
      </c>
      <c r="Q68" s="240">
        <v>30090.249247925665</v>
      </c>
      <c r="R68" s="240">
        <v>44956.182416047763</v>
      </c>
      <c r="S68" s="240">
        <v>284208.70130542311</v>
      </c>
      <c r="T68" s="243">
        <v>-2</v>
      </c>
      <c r="U68" s="243">
        <v>-0.27881040892194164</v>
      </c>
      <c r="V68" s="243">
        <v>5.4605671536850338</v>
      </c>
      <c r="W68" s="243">
        <v>0.14470735264156076</v>
      </c>
      <c r="X68" s="243">
        <v>1.8940490829692465</v>
      </c>
      <c r="Y68" s="243">
        <v>4.5525009916539148</v>
      </c>
      <c r="Z68" s="243">
        <v>3.5023522312464905</v>
      </c>
      <c r="AA68" s="243">
        <v>-2.9416177443976466</v>
      </c>
      <c r="AB68" s="243">
        <v>-2.9416177443976466</v>
      </c>
      <c r="AC68" s="243">
        <v>4.2497079207563644</v>
      </c>
      <c r="AD68" s="243">
        <v>0.52359309960559131</v>
      </c>
      <c r="AE68" s="243">
        <v>2.124756377975686</v>
      </c>
      <c r="AF68" s="243">
        <v>2.3498333917923588</v>
      </c>
      <c r="AG68" s="243">
        <v>4.7223337450089389</v>
      </c>
      <c r="AH68" s="243">
        <v>-1.1026878015161827</v>
      </c>
      <c r="AI68" s="243">
        <v>1.0891056661896528</v>
      </c>
      <c r="AJ68" s="243">
        <v>3.4984148987690276</v>
      </c>
      <c r="AK68" s="243">
        <v>-5.1899122158290396</v>
      </c>
    </row>
    <row r="69" spans="1:37" ht="15.6">
      <c r="A69" s="237">
        <v>2015</v>
      </c>
      <c r="B69" s="240">
        <v>435258.33360220364</v>
      </c>
      <c r="C69" s="240">
        <v>2645.5966940263738</v>
      </c>
      <c r="D69" s="240">
        <v>39601.965959395966</v>
      </c>
      <c r="E69" s="240">
        <v>1419942.3022542098</v>
      </c>
      <c r="F69" s="240">
        <v>290815.11930064921</v>
      </c>
      <c r="G69" s="240">
        <v>387648.84857922618</v>
      </c>
      <c r="H69" s="240">
        <v>44616.546968513197</v>
      </c>
      <c r="I69" s="240">
        <v>63278.903479214561</v>
      </c>
      <c r="J69" s="240">
        <v>92529.512686191272</v>
      </c>
      <c r="K69" s="240">
        <v>72808.393597790055</v>
      </c>
      <c r="L69" s="240">
        <v>10521.356440653979</v>
      </c>
      <c r="M69" s="240">
        <v>1007912.6488246646</v>
      </c>
      <c r="N69" s="240">
        <v>209300.55571882587</v>
      </c>
      <c r="O69" s="240">
        <v>15275.020758765528</v>
      </c>
      <c r="P69" s="240">
        <v>714.72252250288352</v>
      </c>
      <c r="Q69" s="240">
        <v>30454.427756221288</v>
      </c>
      <c r="R69" s="240">
        <v>46214.989466052793</v>
      </c>
      <c r="S69" s="240">
        <v>267156.17922709772</v>
      </c>
      <c r="T69" s="243">
        <v>-1</v>
      </c>
      <c r="U69" s="243">
        <v>0.83876980428705394</v>
      </c>
      <c r="V69" s="243">
        <v>4.3016319084948123</v>
      </c>
      <c r="W69" s="243">
        <v>-2.2000000000000171</v>
      </c>
      <c r="X69" s="243">
        <v>2.2999999999999972</v>
      </c>
      <c r="Y69" s="243">
        <v>3</v>
      </c>
      <c r="Z69" s="243">
        <v>3.7999986741243532</v>
      </c>
      <c r="AA69" s="243">
        <v>-1.9288956044874368</v>
      </c>
      <c r="AB69" s="243">
        <v>-1.9288956044874368</v>
      </c>
      <c r="AC69" s="243">
        <v>4.0001213734270493</v>
      </c>
      <c r="AD69" s="243">
        <v>1.6749492583706598</v>
      </c>
      <c r="AE69" s="243">
        <v>2.4999999999999858</v>
      </c>
      <c r="AF69" s="243">
        <v>3.8087711181933486</v>
      </c>
      <c r="AG69" s="243">
        <v>3.0147475340318977</v>
      </c>
      <c r="AH69" s="243">
        <v>1.7770034843205735</v>
      </c>
      <c r="AI69" s="243">
        <v>1.2102874432677879</v>
      </c>
      <c r="AJ69" s="243">
        <v>2.8000755009742022</v>
      </c>
      <c r="AK69" s="243">
        <v>-6</v>
      </c>
    </row>
    <row r="70" spans="1:37" ht="15.6">
      <c r="A70" s="236"/>
      <c r="B70" s="244" t="s">
        <v>441</v>
      </c>
      <c r="C70" s="244" t="s">
        <v>441</v>
      </c>
      <c r="D70" s="244" t="s">
        <v>441</v>
      </c>
      <c r="E70" s="244" t="s">
        <v>441</v>
      </c>
      <c r="F70" s="244" t="s">
        <v>441</v>
      </c>
      <c r="G70" s="244" t="s">
        <v>441</v>
      </c>
      <c r="H70" s="244" t="s">
        <v>441</v>
      </c>
      <c r="I70" s="244" t="s">
        <v>441</v>
      </c>
      <c r="J70" s="244" t="s">
        <v>441</v>
      </c>
      <c r="K70" s="244" t="s">
        <v>441</v>
      </c>
      <c r="L70" s="244" t="s">
        <v>441</v>
      </c>
      <c r="M70" s="244" t="s">
        <v>441</v>
      </c>
      <c r="N70" s="244" t="s">
        <v>441</v>
      </c>
      <c r="O70" s="245" t="s">
        <v>442</v>
      </c>
      <c r="P70" s="244" t="s">
        <v>441</v>
      </c>
      <c r="Q70" s="244" t="s">
        <v>441</v>
      </c>
      <c r="R70" s="244" t="s">
        <v>441</v>
      </c>
      <c r="S70" s="244" t="s">
        <v>441</v>
      </c>
      <c r="T70" s="241"/>
      <c r="U70" s="241"/>
      <c r="V70" s="241"/>
      <c r="W70" s="241"/>
      <c r="X70" s="241"/>
      <c r="Y70" s="241"/>
      <c r="Z70" s="241"/>
      <c r="AA70" s="241"/>
      <c r="AB70" s="241"/>
      <c r="AC70" s="241"/>
      <c r="AD70" s="241"/>
      <c r="AE70" s="241"/>
      <c r="AF70" s="241"/>
      <c r="AG70" s="241"/>
      <c r="AH70" s="241"/>
      <c r="AI70" s="241"/>
      <c r="AJ70" s="241"/>
      <c r="AK70" s="241"/>
    </row>
    <row r="71" spans="1:37">
      <c r="T71" s="290">
        <f>+AVERAGE(T16:T67)</f>
        <v>2.6492874922903429</v>
      </c>
      <c r="U71" s="289">
        <f>+AVERAGE(U16:U67)</f>
        <v>2.3468816085009054</v>
      </c>
      <c r="V71" s="290">
        <f t="shared" ref="V71:AK71" si="0">+AVERAGE(V16:V67)</f>
        <v>3.6697453945807537</v>
      </c>
      <c r="W71" s="290">
        <f t="shared" si="0"/>
        <v>4.1620671170740344</v>
      </c>
      <c r="X71" s="290">
        <f>+AVERAGE(X16:X67)</f>
        <v>4.2582457819672861</v>
      </c>
      <c r="Y71" s="290">
        <f t="shared" si="0"/>
        <v>4.2472378634704855</v>
      </c>
      <c r="Z71" s="289">
        <f t="shared" si="0"/>
        <v>4.9039503809733294</v>
      </c>
      <c r="AA71" s="289">
        <f t="shared" si="0"/>
        <v>1.2576358550800661</v>
      </c>
      <c r="AB71" s="290">
        <f t="shared" si="0"/>
        <v>1.2576358550800661</v>
      </c>
      <c r="AC71" s="289">
        <f t="shared" si="0"/>
        <v>3.8875036655515824</v>
      </c>
      <c r="AD71" s="289">
        <f t="shared" si="0"/>
        <v>1.689376912087811</v>
      </c>
      <c r="AE71" s="290">
        <f t="shared" si="0"/>
        <v>4.0435610646923452</v>
      </c>
      <c r="AF71" s="290">
        <f t="shared" si="0"/>
        <v>3.6766780960859573</v>
      </c>
      <c r="AG71" s="290">
        <f>+AVERAGE(AG16:AG67)</f>
        <v>4.8503294209242664</v>
      </c>
      <c r="AH71" s="289">
        <f t="shared" si="0"/>
        <v>3.9913128891334422</v>
      </c>
      <c r="AI71" s="289">
        <f t="shared" si="0"/>
        <v>3.4149611488806992</v>
      </c>
      <c r="AJ71" s="289">
        <f t="shared" si="0"/>
        <v>2.4622957865186121</v>
      </c>
      <c r="AK71" s="290">
        <f t="shared" si="0"/>
        <v>2.9458381335014416</v>
      </c>
    </row>
    <row r="73" spans="1:37" ht="15.6">
      <c r="A73" s="236"/>
      <c r="B73" s="236"/>
      <c r="C73" s="236"/>
      <c r="D73" s="236"/>
      <c r="E73" s="236"/>
      <c r="F73" s="236"/>
      <c r="G73" s="236"/>
      <c r="H73" s="236"/>
      <c r="I73" s="236"/>
      <c r="J73" s="236"/>
      <c r="K73" s="236"/>
      <c r="L73" s="236"/>
      <c r="M73" s="236"/>
      <c r="N73" s="236"/>
      <c r="O73" s="285">
        <f>+O5/O4-1</f>
        <v>8.0032214224592391E-3</v>
      </c>
      <c r="P73" s="236"/>
      <c r="Q73" s="236"/>
      <c r="R73" s="236"/>
      <c r="S73" s="236"/>
      <c r="T73" s="238" t="s">
        <v>363</v>
      </c>
      <c r="U73" s="238" t="s">
        <v>443</v>
      </c>
      <c r="V73" s="238" t="s">
        <v>444</v>
      </c>
      <c r="W73" s="238" t="s">
        <v>445</v>
      </c>
      <c r="X73" s="238" t="s">
        <v>446</v>
      </c>
      <c r="Y73" s="242" t="s">
        <v>447</v>
      </c>
      <c r="Z73" s="238" t="s">
        <v>448</v>
      </c>
      <c r="AA73" s="236"/>
      <c r="AB73" s="236"/>
      <c r="AC73" s="236"/>
      <c r="AD73" s="236"/>
      <c r="AE73" s="236"/>
      <c r="AF73" s="236"/>
      <c r="AG73" s="236"/>
      <c r="AH73" s="236"/>
      <c r="AI73" s="236"/>
      <c r="AJ73" s="236"/>
      <c r="AK73" s="236"/>
    </row>
    <row r="74" spans="1:37" ht="15.6">
      <c r="A74" s="236"/>
      <c r="B74" s="236"/>
      <c r="C74" s="236"/>
      <c r="D74" s="236"/>
      <c r="E74" s="236"/>
      <c r="F74" s="236"/>
      <c r="G74" s="236"/>
      <c r="H74" s="236"/>
      <c r="I74" s="236"/>
      <c r="J74" s="236"/>
      <c r="K74" s="236"/>
      <c r="L74" s="236"/>
      <c r="M74" s="236"/>
      <c r="N74" s="236"/>
      <c r="O74" s="285">
        <f t="shared" ref="O74:O136" si="1">+O6/O5-1</f>
        <v>-1.9974033756117171E-3</v>
      </c>
      <c r="P74" s="236"/>
      <c r="Q74" s="236"/>
      <c r="R74" s="236"/>
      <c r="S74" s="236"/>
      <c r="T74" s="238" t="s">
        <v>423</v>
      </c>
      <c r="U74" s="241">
        <v>3.4505569250211519</v>
      </c>
      <c r="V74" s="241">
        <v>4.2509312080343449</v>
      </c>
      <c r="W74" s="241">
        <v>0.46361567124172876</v>
      </c>
      <c r="X74" s="241">
        <v>2.4021702342595006</v>
      </c>
      <c r="Y74" s="241">
        <v>3.9730491893804545</v>
      </c>
      <c r="Z74" s="241">
        <v>2.714360558973913</v>
      </c>
      <c r="AA74" s="236"/>
      <c r="AB74" s="236"/>
      <c r="AC74" s="236"/>
      <c r="AD74" s="236"/>
      <c r="AE74" s="236"/>
      <c r="AF74" s="236"/>
      <c r="AG74" s="236"/>
      <c r="AH74" s="236"/>
      <c r="AI74" s="236"/>
      <c r="AJ74" s="236"/>
      <c r="AK74" s="236"/>
    </row>
    <row r="75" spans="1:37" ht="15.6">
      <c r="A75" s="236"/>
      <c r="B75" s="236"/>
      <c r="C75" s="236"/>
      <c r="D75" s="236"/>
      <c r="E75" s="236"/>
      <c r="F75" s="236"/>
      <c r="G75" s="236"/>
      <c r="H75" s="236"/>
      <c r="I75" s="236"/>
      <c r="J75" s="236"/>
      <c r="K75" s="236"/>
      <c r="L75" s="236"/>
      <c r="M75" s="236"/>
      <c r="N75" s="236"/>
      <c r="O75" s="285">
        <f t="shared" si="1"/>
        <v>5.2000686194622059E-2</v>
      </c>
      <c r="P75" s="236"/>
      <c r="Q75" s="236"/>
      <c r="R75" s="236"/>
      <c r="S75" s="236"/>
      <c r="T75" s="238" t="s">
        <v>426</v>
      </c>
      <c r="U75" s="241">
        <v>6.5942458363076843</v>
      </c>
      <c r="V75" s="241">
        <v>6.9795872313708394</v>
      </c>
      <c r="W75" s="241">
        <v>4.2888748283079074</v>
      </c>
      <c r="X75" s="241">
        <v>1.8926950900384807</v>
      </c>
      <c r="Y75" s="241">
        <v>3.4270383773250872</v>
      </c>
      <c r="Z75" s="241">
        <v>4.5173265881230584</v>
      </c>
      <c r="AA75" s="236"/>
      <c r="AB75" s="236"/>
      <c r="AC75" s="236"/>
      <c r="AD75" s="236"/>
      <c r="AE75" s="236"/>
      <c r="AF75" s="236"/>
      <c r="AG75" s="236"/>
      <c r="AH75" s="236"/>
      <c r="AI75" s="236"/>
      <c r="AJ75" s="236"/>
      <c r="AK75" s="236"/>
    </row>
    <row r="76" spans="1:37" ht="15.6">
      <c r="A76" s="236"/>
      <c r="B76" s="236"/>
      <c r="C76" s="236"/>
      <c r="D76" s="236"/>
      <c r="E76" s="236"/>
      <c r="F76" s="236"/>
      <c r="G76" s="236"/>
      <c r="H76" s="236"/>
      <c r="I76" s="236"/>
      <c r="J76" s="236"/>
      <c r="K76" s="236"/>
      <c r="L76" s="236"/>
      <c r="M76" s="236"/>
      <c r="N76" s="236"/>
      <c r="O76" s="285">
        <f t="shared" si="1"/>
        <v>2.8999096326192131E-2</v>
      </c>
      <c r="P76" s="236"/>
      <c r="Q76" s="236"/>
      <c r="R76" s="236"/>
      <c r="S76" s="236"/>
      <c r="T76" s="238" t="s">
        <v>427</v>
      </c>
      <c r="U76" s="241">
        <v>3.9737611615859292</v>
      </c>
      <c r="V76" s="241">
        <v>3.3358547281873143</v>
      </c>
      <c r="W76" s="241">
        <v>3.3519307160708189</v>
      </c>
      <c r="X76" s="241">
        <v>5.7276379286637082</v>
      </c>
      <c r="Y76" s="241">
        <v>4.4977045953268453</v>
      </c>
      <c r="Z76" s="241">
        <v>4.1724094144173964</v>
      </c>
      <c r="AA76" s="236"/>
      <c r="AB76" s="236"/>
      <c r="AC76" s="236"/>
      <c r="AD76" s="236"/>
      <c r="AE76" s="236"/>
      <c r="AF76" s="236"/>
      <c r="AG76" s="236"/>
      <c r="AH76" s="236"/>
      <c r="AI76" s="236"/>
      <c r="AJ76" s="236"/>
      <c r="AK76" s="236"/>
    </row>
    <row r="77" spans="1:37" ht="15.6">
      <c r="A77" s="236"/>
      <c r="B77" s="236"/>
      <c r="C77" s="236"/>
      <c r="D77" s="236"/>
      <c r="E77" s="236"/>
      <c r="F77" s="236"/>
      <c r="G77" s="236"/>
      <c r="H77" s="236"/>
      <c r="I77" s="236"/>
      <c r="J77" s="236"/>
      <c r="K77" s="236"/>
      <c r="L77" s="236"/>
      <c r="M77" s="236"/>
      <c r="N77" s="236"/>
      <c r="O77" s="285">
        <f t="shared" si="1"/>
        <v>7.4997523853544301E-2</v>
      </c>
      <c r="P77" s="236"/>
      <c r="Q77" s="236"/>
      <c r="R77" s="236"/>
      <c r="S77" s="236"/>
      <c r="T77" s="238" t="s">
        <v>428</v>
      </c>
      <c r="U77" s="241">
        <v>4.8228316150548212</v>
      </c>
      <c r="V77" s="241">
        <v>5.6359600485219472</v>
      </c>
      <c r="W77" s="241">
        <v>4.0797223056054666</v>
      </c>
      <c r="X77" s="241">
        <v>2.8446317770777676</v>
      </c>
      <c r="Y77" s="241">
        <v>4.7888134128254167</v>
      </c>
      <c r="Z77" s="241">
        <v>4.3509377759019081</v>
      </c>
      <c r="AA77" s="236"/>
      <c r="AB77" s="236"/>
      <c r="AC77" s="236"/>
      <c r="AD77" s="236"/>
      <c r="AE77" s="236"/>
      <c r="AF77" s="236"/>
      <c r="AG77" s="236"/>
      <c r="AH77" s="236"/>
      <c r="AI77" s="236"/>
      <c r="AJ77" s="236"/>
      <c r="AK77" s="236"/>
    </row>
    <row r="78" spans="1:37" ht="15.6">
      <c r="A78" s="236"/>
      <c r="B78" s="236"/>
      <c r="C78" s="236"/>
      <c r="D78" s="236"/>
      <c r="E78" s="236"/>
      <c r="F78" s="236"/>
      <c r="G78" s="236"/>
      <c r="H78" s="236"/>
      <c r="I78" s="236"/>
      <c r="J78" s="236"/>
      <c r="K78" s="236"/>
      <c r="L78" s="236"/>
      <c r="M78" s="236"/>
      <c r="N78" s="236"/>
      <c r="O78" s="285">
        <f t="shared" si="1"/>
        <v>2.3998329269116825E-2</v>
      </c>
      <c r="P78" s="236"/>
      <c r="Q78" s="236"/>
      <c r="R78" s="236"/>
      <c r="S78" s="236"/>
      <c r="T78" s="238" t="s">
        <v>431</v>
      </c>
      <c r="U78" s="241">
        <v>1.586907856377797</v>
      </c>
      <c r="V78" s="241">
        <v>2.6557122263097988</v>
      </c>
      <c r="W78" s="241">
        <v>-1.1334108350152228</v>
      </c>
      <c r="X78" s="241">
        <v>1.2116317016930185</v>
      </c>
      <c r="Y78" s="241">
        <v>2.8871481400535917</v>
      </c>
      <c r="Z78" s="241">
        <v>1.2486161428112743</v>
      </c>
      <c r="AA78" s="236"/>
      <c r="AB78" s="236"/>
      <c r="AC78" s="236"/>
      <c r="AD78" s="236"/>
      <c r="AE78" s="236"/>
      <c r="AF78" s="236"/>
      <c r="AG78" s="236"/>
      <c r="AH78" s="236"/>
      <c r="AI78" s="236"/>
      <c r="AJ78" s="236"/>
      <c r="AK78" s="236"/>
    </row>
    <row r="79" spans="1:37" ht="15.6">
      <c r="A79" s="236"/>
      <c r="B79" s="236"/>
      <c r="C79" s="236"/>
      <c r="D79" s="236"/>
      <c r="E79" s="236"/>
      <c r="F79" s="236"/>
      <c r="G79" s="236"/>
      <c r="H79" s="236"/>
      <c r="I79" s="236"/>
      <c r="J79" s="236"/>
      <c r="K79" s="236"/>
      <c r="L79" s="236"/>
      <c r="M79" s="236"/>
      <c r="N79" s="236"/>
      <c r="O79" s="285">
        <f t="shared" si="1"/>
        <v>5.7998920280726729E-2</v>
      </c>
      <c r="P79" s="236"/>
      <c r="Q79" s="236"/>
      <c r="R79" s="236"/>
      <c r="S79" s="236"/>
      <c r="T79" s="238" t="s">
        <v>434</v>
      </c>
      <c r="U79" s="241">
        <v>5.9211639136302656</v>
      </c>
      <c r="V79" s="241">
        <v>6.8468927020350216</v>
      </c>
      <c r="W79" s="241">
        <v>3.6775259916072471</v>
      </c>
      <c r="X79" s="241">
        <v>3.039363949064001</v>
      </c>
      <c r="Y79" s="241">
        <v>2.62142801499503</v>
      </c>
      <c r="Z79" s="241">
        <v>4.3362927311236037</v>
      </c>
      <c r="AA79" s="236"/>
      <c r="AB79" s="236"/>
      <c r="AC79" s="236"/>
      <c r="AD79" s="236"/>
      <c r="AE79" s="236"/>
      <c r="AF79" s="236"/>
      <c r="AG79" s="236"/>
      <c r="AH79" s="236"/>
      <c r="AI79" s="236"/>
      <c r="AJ79" s="236"/>
      <c r="AK79" s="236"/>
    </row>
    <row r="80" spans="1:37" ht="15.6">
      <c r="A80" s="236"/>
      <c r="B80" s="236"/>
      <c r="C80" s="236"/>
      <c r="D80" s="236"/>
      <c r="E80" s="236"/>
      <c r="F80" s="236"/>
      <c r="G80" s="236"/>
      <c r="H80" s="236"/>
      <c r="I80" s="236"/>
      <c r="J80" s="236"/>
      <c r="K80" s="236"/>
      <c r="L80" s="236"/>
      <c r="M80" s="236"/>
      <c r="N80" s="236"/>
      <c r="O80" s="285">
        <f t="shared" si="1"/>
        <v>6.1997176534621445E-2</v>
      </c>
      <c r="P80" s="236"/>
      <c r="Q80" s="236"/>
      <c r="R80" s="236"/>
      <c r="S80" s="236"/>
      <c r="T80" s="238" t="s">
        <v>435</v>
      </c>
      <c r="U80" s="241">
        <v>5.673780109973956</v>
      </c>
      <c r="V80" s="241">
        <v>5.0431915683435049</v>
      </c>
      <c r="W80" s="241">
        <v>1.3110218869452162</v>
      </c>
      <c r="X80" s="241">
        <v>3.2570710237594613</v>
      </c>
      <c r="Y80" s="241">
        <v>6.0403137313076458</v>
      </c>
      <c r="Z80" s="241">
        <v>3.9991980562183693</v>
      </c>
      <c r="AA80" s="236"/>
      <c r="AB80" s="236"/>
      <c r="AC80" s="236"/>
      <c r="AD80" s="236"/>
      <c r="AE80" s="236"/>
      <c r="AF80" s="236"/>
      <c r="AG80" s="236"/>
      <c r="AH80" s="236"/>
      <c r="AI80" s="236"/>
      <c r="AJ80" s="236"/>
      <c r="AK80" s="236"/>
    </row>
    <row r="81" spans="15:26" ht="15.6">
      <c r="O81" s="285">
        <f t="shared" si="1"/>
        <v>-9.9832367041430281E-4</v>
      </c>
      <c r="T81" s="238" t="s">
        <v>440</v>
      </c>
      <c r="U81" s="241">
        <v>6.068964205676477</v>
      </c>
      <c r="V81" s="241">
        <v>4.9933524076155136</v>
      </c>
      <c r="W81" s="241">
        <v>1.2735157977803322</v>
      </c>
      <c r="X81" s="241">
        <v>0.99461544930577417</v>
      </c>
      <c r="Y81" s="241">
        <v>4.8884157072812338</v>
      </c>
      <c r="Z81" s="241">
        <v>3.3555043279482373</v>
      </c>
    </row>
    <row r="82" spans="15:26" ht="15.6">
      <c r="O82" s="285">
        <f t="shared" si="1"/>
        <v>-7.9999144965717806E-3</v>
      </c>
      <c r="T82" s="246" t="s">
        <v>449</v>
      </c>
      <c r="U82" s="241">
        <v>3.3272924316421237</v>
      </c>
      <c r="V82" s="241">
        <v>5.3155654848129226</v>
      </c>
      <c r="W82" s="241">
        <v>6.7077936584896509</v>
      </c>
      <c r="X82" s="241">
        <v>2.2899895362818836</v>
      </c>
      <c r="Y82" s="241">
        <v>4.8880114337758922</v>
      </c>
      <c r="Z82" s="241">
        <v>4.5865575059552208</v>
      </c>
    </row>
    <row r="83" spans="15:26">
      <c r="O83" s="285">
        <f t="shared" si="1"/>
        <v>6.9002855141948816E-2</v>
      </c>
    </row>
    <row r="84" spans="15:26" ht="15.6">
      <c r="O84" s="285">
        <f t="shared" si="1"/>
        <v>3.300258517730903E-2</v>
      </c>
      <c r="T84" s="253" t="s">
        <v>363</v>
      </c>
      <c r="U84" s="254" t="s">
        <v>443</v>
      </c>
      <c r="V84" s="254" t="s">
        <v>444</v>
      </c>
      <c r="W84" s="254" t="s">
        <v>445</v>
      </c>
      <c r="X84" s="254" t="s">
        <v>446</v>
      </c>
      <c r="Y84" s="254" t="s">
        <v>447</v>
      </c>
      <c r="Z84" s="254" t="s">
        <v>448</v>
      </c>
    </row>
    <row r="85" spans="15:26" ht="15.6">
      <c r="O85" s="285">
        <f t="shared" si="1"/>
        <v>4.7102913374604594E-2</v>
      </c>
      <c r="T85" s="248" t="s">
        <v>449</v>
      </c>
      <c r="U85" s="249">
        <v>3.3272924316421237</v>
      </c>
      <c r="V85" s="249">
        <v>5.3155654848129226</v>
      </c>
      <c r="W85" s="249">
        <v>6.7077936584896509</v>
      </c>
      <c r="X85" s="249">
        <v>2.2899895362818836</v>
      </c>
      <c r="Y85" s="249">
        <v>4.8880114337758922</v>
      </c>
      <c r="Z85" s="249">
        <v>4.5865575059552208</v>
      </c>
    </row>
    <row r="86" spans="15:26" ht="15.6">
      <c r="O86" s="285">
        <f t="shared" si="1"/>
        <v>4.2124773584204078E-2</v>
      </c>
      <c r="T86" s="247" t="s">
        <v>426</v>
      </c>
      <c r="U86" s="250">
        <v>6.5942458363076843</v>
      </c>
      <c r="V86" s="250">
        <v>6.9795872313708394</v>
      </c>
      <c r="W86" s="250">
        <v>4.2888748283079074</v>
      </c>
      <c r="X86" s="250">
        <v>1.8926950900384807</v>
      </c>
      <c r="Y86" s="250">
        <v>3.4270383773250872</v>
      </c>
      <c r="Z86" s="250">
        <v>4.5173265881230584</v>
      </c>
    </row>
    <row r="87" spans="15:26" ht="15.6">
      <c r="O87" s="285">
        <f t="shared" si="1"/>
        <v>6.1679747592396694E-2</v>
      </c>
      <c r="T87" s="247" t="s">
        <v>428</v>
      </c>
      <c r="U87" s="250">
        <v>4.8228316150548212</v>
      </c>
      <c r="V87" s="250">
        <v>5.6359600485219472</v>
      </c>
      <c r="W87" s="250">
        <v>4.0797223056054666</v>
      </c>
      <c r="X87" s="250">
        <v>2.8446317770777676</v>
      </c>
      <c r="Y87" s="250">
        <v>4.7888134128254167</v>
      </c>
      <c r="Z87" s="250">
        <v>4.3509377759019081</v>
      </c>
    </row>
    <row r="88" spans="15:26" ht="15.6">
      <c r="O88" s="285">
        <f t="shared" si="1"/>
        <v>1.991503333128275E-2</v>
      </c>
      <c r="T88" s="247" t="s">
        <v>434</v>
      </c>
      <c r="U88" s="250">
        <v>5.9211639136302656</v>
      </c>
      <c r="V88" s="250">
        <v>6.8468927020350216</v>
      </c>
      <c r="W88" s="250">
        <v>3.6775259916072471</v>
      </c>
      <c r="X88" s="250">
        <v>3.039363949064001</v>
      </c>
      <c r="Y88" s="250">
        <v>2.62142801499503</v>
      </c>
      <c r="Z88" s="250">
        <v>4.3362927311236037</v>
      </c>
    </row>
    <row r="89" spans="15:26" ht="15.6">
      <c r="O89" s="285">
        <f t="shared" si="1"/>
        <v>9.1503672042041018E-2</v>
      </c>
      <c r="T89" s="247" t="s">
        <v>427</v>
      </c>
      <c r="U89" s="250">
        <v>3.9737611615859292</v>
      </c>
      <c r="V89" s="250">
        <v>3.3358547281873143</v>
      </c>
      <c r="W89" s="250">
        <v>3.3519307160708189</v>
      </c>
      <c r="X89" s="250">
        <v>5.7276379286637082</v>
      </c>
      <c r="Y89" s="250">
        <v>4.4977045953268453</v>
      </c>
      <c r="Z89" s="250">
        <v>4.1724094144173964</v>
      </c>
    </row>
    <row r="90" spans="15:26" ht="15.6">
      <c r="O90" s="285">
        <f t="shared" si="1"/>
        <v>4.5270738413325518E-2</v>
      </c>
      <c r="T90" s="247" t="s">
        <v>435</v>
      </c>
      <c r="U90" s="250">
        <v>5.673780109973956</v>
      </c>
      <c r="V90" s="250">
        <v>5.0431915683435049</v>
      </c>
      <c r="W90" s="250">
        <v>1.3110218869452162</v>
      </c>
      <c r="X90" s="250">
        <v>3.2570710237594613</v>
      </c>
      <c r="Y90" s="250">
        <v>6.0403137313076458</v>
      </c>
      <c r="Z90" s="250">
        <v>3.9991980562183693</v>
      </c>
    </row>
    <row r="91" spans="15:26" ht="15.6">
      <c r="O91" s="285">
        <f t="shared" si="1"/>
        <v>4.7011514083162398E-2</v>
      </c>
      <c r="T91" s="247" t="s">
        <v>440</v>
      </c>
      <c r="U91" s="250">
        <v>6.068964205676477</v>
      </c>
      <c r="V91" s="250">
        <v>4.9933524076155136</v>
      </c>
      <c r="W91" s="250">
        <v>1.2735157977803322</v>
      </c>
      <c r="X91" s="250">
        <v>0.99461544930577417</v>
      </c>
      <c r="Y91" s="250">
        <v>4.8884157072812338</v>
      </c>
      <c r="Z91" s="250">
        <v>3.3555043279482373</v>
      </c>
    </row>
    <row r="92" spans="15:26" ht="15.6">
      <c r="O92" s="285">
        <f t="shared" si="1"/>
        <v>5.5534257358763384E-2</v>
      </c>
      <c r="T92" s="247" t="s">
        <v>423</v>
      </c>
      <c r="U92" s="250">
        <v>3.4505569250211519</v>
      </c>
      <c r="V92" s="250">
        <v>4.2509312080343449</v>
      </c>
      <c r="W92" s="250">
        <v>0.46361567124172876</v>
      </c>
      <c r="X92" s="250">
        <v>2.4021702342595006</v>
      </c>
      <c r="Y92" s="250">
        <v>3.9730491893804545</v>
      </c>
      <c r="Z92" s="250">
        <v>2.714360558973913</v>
      </c>
    </row>
    <row r="93" spans="15:26" ht="16.2" thickBot="1">
      <c r="O93" s="285">
        <f t="shared" si="1"/>
        <v>5.5381519387889488E-2</v>
      </c>
      <c r="T93" s="251" t="s">
        <v>431</v>
      </c>
      <c r="U93" s="252">
        <v>1.586907856377797</v>
      </c>
      <c r="V93" s="252">
        <v>2.6557122263097988</v>
      </c>
      <c r="W93" s="252">
        <v>-1.1334108350152228</v>
      </c>
      <c r="X93" s="252">
        <v>1.2116317016930185</v>
      </c>
      <c r="Y93" s="252">
        <v>2.8871481400535917</v>
      </c>
      <c r="Z93" s="252">
        <v>1.2486161428112743</v>
      </c>
    </row>
    <row r="94" spans="15:26" ht="15" thickTop="1">
      <c r="O94" s="285">
        <f t="shared" si="1"/>
        <v>6.6312974759276555E-2</v>
      </c>
    </row>
    <row r="95" spans="15:26">
      <c r="O95" s="285">
        <f t="shared" si="1"/>
        <v>7.3028129073295256E-2</v>
      </c>
    </row>
    <row r="96" spans="15:26">
      <c r="O96" s="285">
        <f t="shared" si="1"/>
        <v>8.3815254380606996E-2</v>
      </c>
    </row>
    <row r="97" spans="15:15">
      <c r="O97" s="285">
        <f t="shared" si="1"/>
        <v>6.8524447148100132E-2</v>
      </c>
    </row>
    <row r="98" spans="15:15">
      <c r="O98" s="285">
        <f t="shared" si="1"/>
        <v>7.5259495306975399E-2</v>
      </c>
    </row>
    <row r="99" spans="15:15">
      <c r="O99" s="285">
        <f t="shared" si="1"/>
        <v>0.11494081602257888</v>
      </c>
    </row>
    <row r="100" spans="15:15">
      <c r="O100" s="285">
        <f t="shared" si="1"/>
        <v>0.12028729945260408</v>
      </c>
    </row>
    <row r="101" spans="15:15">
      <c r="O101" s="285">
        <f t="shared" si="1"/>
        <v>0.11862146972516618</v>
      </c>
    </row>
    <row r="102" spans="15:15">
      <c r="O102" s="285">
        <f t="shared" si="1"/>
        <v>0.11712145942928331</v>
      </c>
    </row>
    <row r="103" spans="15:15">
      <c r="O103" s="285">
        <f t="shared" si="1"/>
        <v>9.1704588496359207E-2</v>
      </c>
    </row>
    <row r="104" spans="15:15">
      <c r="O104" s="285">
        <f t="shared" si="1"/>
        <v>-1.3976177174267135E-2</v>
      </c>
    </row>
    <row r="105" spans="15:15">
      <c r="O105" s="285">
        <f t="shared" si="1"/>
        <v>-3.0426178854094044E-2</v>
      </c>
    </row>
    <row r="106" spans="15:15">
      <c r="O106" s="285">
        <f t="shared" si="1"/>
        <v>2.8165994467004074E-2</v>
      </c>
    </row>
    <row r="107" spans="15:15">
      <c r="O107" s="285">
        <f t="shared" si="1"/>
        <v>4.5231356784568355E-2</v>
      </c>
    </row>
    <row r="108" spans="15:15">
      <c r="O108" s="285">
        <f t="shared" si="1"/>
        <v>4.9648356642972846E-2</v>
      </c>
    </row>
    <row r="109" spans="15:15">
      <c r="O109" s="285">
        <f t="shared" si="1"/>
        <v>7.5823043769046583E-2</v>
      </c>
    </row>
    <row r="110" spans="15:15">
      <c r="O110" s="285">
        <f t="shared" si="1"/>
        <v>5.9153720660205744E-2</v>
      </c>
    </row>
    <row r="111" spans="15:15">
      <c r="O111" s="285">
        <f t="shared" si="1"/>
        <v>6.935203910123322E-2</v>
      </c>
    </row>
    <row r="112" spans="15:15">
      <c r="O112" s="285">
        <f t="shared" si="1"/>
        <v>4.1232828795816356E-2</v>
      </c>
    </row>
    <row r="113" spans="15:15">
      <c r="O113" s="285">
        <f t="shared" si="1"/>
        <v>3.49365015506784E-2</v>
      </c>
    </row>
    <row r="114" spans="15:15">
      <c r="O114" s="285">
        <f t="shared" si="1"/>
        <v>1.6964280112351071E-2</v>
      </c>
    </row>
    <row r="115" spans="15:15">
      <c r="O115" s="285">
        <f t="shared" si="1"/>
        <v>4.9363594147655121E-2</v>
      </c>
    </row>
    <row r="116" spans="15:15">
      <c r="O116" s="285">
        <f t="shared" si="1"/>
        <v>5.3179176601827027E-2</v>
      </c>
    </row>
    <row r="117" spans="15:15">
      <c r="O117" s="285">
        <f t="shared" si="1"/>
        <v>6.8228103036197529E-2</v>
      </c>
    </row>
    <row r="118" spans="15:15">
      <c r="O118" s="285">
        <f t="shared" si="1"/>
        <v>1.5737851317312535E-2</v>
      </c>
    </row>
    <row r="119" spans="15:15">
      <c r="O119" s="285">
        <f t="shared" si="1"/>
        <v>4.2425161027366265E-2</v>
      </c>
    </row>
    <row r="120" spans="15:15">
      <c r="O120" s="285">
        <f t="shared" si="1"/>
        <v>6.8037758484873478E-4</v>
      </c>
    </row>
    <row r="121" spans="15:15">
      <c r="O121" s="285">
        <f t="shared" si="1"/>
        <v>-1.366079716555646E-2</v>
      </c>
    </row>
    <row r="122" spans="15:15">
      <c r="O122" s="285">
        <f t="shared" si="1"/>
        <v>-2.3141405687504224E-2</v>
      </c>
    </row>
    <row r="123" spans="15:15">
      <c r="O123" s="285">
        <f t="shared" si="1"/>
        <v>-8.3405471284054844E-3</v>
      </c>
    </row>
    <row r="124" spans="15:15">
      <c r="O124" s="285">
        <f t="shared" si="1"/>
        <v>-2.1404398124025281E-4</v>
      </c>
    </row>
    <row r="125" spans="15:15">
      <c r="O125" s="285">
        <f t="shared" si="1"/>
        <v>4.3207454868116946E-2</v>
      </c>
    </row>
    <row r="126" spans="15:15">
      <c r="O126" s="285">
        <f t="shared" si="1"/>
        <v>4.0574183636285177E-2</v>
      </c>
    </row>
    <row r="127" spans="15:15">
      <c r="O127" s="285">
        <f t="shared" si="1"/>
        <v>2.133490664604043E-2</v>
      </c>
    </row>
    <row r="128" spans="15:15">
      <c r="O128" s="285">
        <f t="shared" si="1"/>
        <v>4.8071171927070777E-2</v>
      </c>
    </row>
    <row r="129" spans="15:15">
      <c r="O129" s="285">
        <f t="shared" si="1"/>
        <v>5.4216228722020476E-2</v>
      </c>
    </row>
    <row r="130" spans="15:15">
      <c r="O130" s="285">
        <f t="shared" si="1"/>
        <v>6.3591207932471194E-2</v>
      </c>
    </row>
    <row r="131" spans="15:15">
      <c r="O131" s="285">
        <f t="shared" si="1"/>
        <v>-3.9656954640880704E-2</v>
      </c>
    </row>
    <row r="132" spans="15:15">
      <c r="O132" s="285">
        <f t="shared" si="1"/>
        <v>0.13093001522724301</v>
      </c>
    </row>
    <row r="133" spans="15:15">
      <c r="O133" s="285">
        <f t="shared" si="1"/>
        <v>4.3424071936255304E-2</v>
      </c>
    </row>
    <row r="134" spans="15:15">
      <c r="O134" s="285">
        <f t="shared" si="1"/>
        <v>-1.2389678459295284E-2</v>
      </c>
    </row>
    <row r="135" spans="15:15">
      <c r="O135" s="285">
        <f t="shared" si="1"/>
        <v>0.14036276733804831</v>
      </c>
    </row>
    <row r="136" spans="15:15">
      <c r="O136" s="285">
        <f t="shared" si="1"/>
        <v>4.7223337450089442E-2</v>
      </c>
    </row>
    <row r="137" spans="15:15">
      <c r="O137" s="285">
        <f>+O69/O68-1</f>
        <v>3.014747534031903E-2</v>
      </c>
    </row>
    <row r="138" spans="15:15">
      <c r="O138" s="285"/>
    </row>
    <row r="139" spans="15:15">
      <c r="O139" s="285"/>
    </row>
    <row r="140" spans="15:15">
      <c r="O140" s="285"/>
    </row>
    <row r="141" spans="15:15">
      <c r="O141" s="285"/>
    </row>
    <row r="142" spans="15:15">
      <c r="O142" s="285"/>
    </row>
    <row r="143" spans="15:15">
      <c r="O143" s="285"/>
    </row>
    <row r="144" spans="15:15">
      <c r="O144" s="285"/>
    </row>
    <row r="145" spans="15:15">
      <c r="O145" s="285"/>
    </row>
    <row r="146" spans="15:15">
      <c r="O146" s="285"/>
    </row>
    <row r="147" spans="15:15">
      <c r="O147" s="285"/>
    </row>
    <row r="148" spans="15:15">
      <c r="O148" s="285"/>
    </row>
    <row r="149" spans="15:15">
      <c r="O149" s="285"/>
    </row>
    <row r="150" spans="15:15">
      <c r="O150" s="285"/>
    </row>
    <row r="151" spans="15:15">
      <c r="O151" s="285"/>
    </row>
    <row r="152" spans="15:15">
      <c r="O152" s="285"/>
    </row>
    <row r="153" spans="15:15">
      <c r="O153" s="285"/>
    </row>
    <row r="154" spans="15:15">
      <c r="O154" s="285"/>
    </row>
    <row r="155" spans="15:15">
      <c r="O155" s="285"/>
    </row>
    <row r="156" spans="15:15">
      <c r="O156" s="285"/>
    </row>
    <row r="157" spans="15:15">
      <c r="O157" s="285"/>
    </row>
    <row r="158" spans="15:15">
      <c r="O158" s="285"/>
    </row>
    <row r="159" spans="15:15">
      <c r="O159" s="285"/>
    </row>
    <row r="160" spans="15:15">
      <c r="O160" s="285"/>
    </row>
    <row r="161" spans="15:15">
      <c r="O161" s="285"/>
    </row>
    <row r="162" spans="15:15">
      <c r="O162" s="285"/>
    </row>
    <row r="163" spans="15:15">
      <c r="O163" s="285"/>
    </row>
    <row r="164" spans="15:15">
      <c r="O164" s="285"/>
    </row>
    <row r="165" spans="15:15">
      <c r="O165" s="285"/>
    </row>
    <row r="166" spans="15:15">
      <c r="O166" s="285"/>
    </row>
    <row r="167" spans="15:15">
      <c r="O167" s="285"/>
    </row>
    <row r="168" spans="15:15">
      <c r="O168" s="285"/>
    </row>
    <row r="169" spans="15:15">
      <c r="O169" s="285"/>
    </row>
    <row r="170" spans="15:15">
      <c r="O170" s="285"/>
    </row>
    <row r="171" spans="15:15">
      <c r="O171" s="285"/>
    </row>
    <row r="172" spans="15:15">
      <c r="O172" s="285"/>
    </row>
    <row r="173" spans="15:15">
      <c r="O173" s="285"/>
    </row>
    <row r="174" spans="15:15">
      <c r="O174" s="285"/>
    </row>
    <row r="175" spans="15:15">
      <c r="O175" s="285"/>
    </row>
    <row r="176" spans="15:15">
      <c r="O176" s="285"/>
    </row>
    <row r="177" spans="15:15">
      <c r="O177" s="285"/>
    </row>
    <row r="178" spans="15:15">
      <c r="O178" s="285"/>
    </row>
    <row r="179" spans="15:15">
      <c r="O179" s="285"/>
    </row>
    <row r="180" spans="15:15">
      <c r="O180" s="285"/>
    </row>
  </sheetData>
  <mergeCells count="2">
    <mergeCell ref="B2:S2"/>
    <mergeCell ref="T2:AK2"/>
  </mergeCells>
  <pageMargins left="0.7" right="0.7" top="0.75" bottom="0.75" header="0.3" footer="0.3"/>
  <pageSetup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7"/>
  <sheetViews>
    <sheetView workbookViewId="0">
      <pane xSplit="3" ySplit="1" topLeftCell="D2" activePane="bottomRight" state="frozen"/>
      <selection pane="topRight" activeCell="D1" sqref="D1"/>
      <selection pane="bottomLeft" activeCell="A2" sqref="A2"/>
      <selection pane="bottomRight" activeCell="J31" sqref="J31"/>
    </sheetView>
  </sheetViews>
  <sheetFormatPr defaultColWidth="11.44140625" defaultRowHeight="14.4"/>
  <cols>
    <col min="1" max="16384" width="11.44140625" style="236"/>
  </cols>
  <sheetData>
    <row r="1" spans="1:69">
      <c r="A1" s="258"/>
      <c r="B1" s="259"/>
      <c r="C1" s="259" t="s">
        <v>453</v>
      </c>
      <c r="D1" s="260">
        <v>1950</v>
      </c>
      <c r="E1" s="260">
        <v>1951</v>
      </c>
      <c r="F1" s="260">
        <v>1952</v>
      </c>
      <c r="G1" s="260">
        <v>1953</v>
      </c>
      <c r="H1" s="260">
        <v>1954</v>
      </c>
      <c r="I1" s="260">
        <v>1955</v>
      </c>
      <c r="J1" s="260">
        <v>1956</v>
      </c>
      <c r="K1" s="260">
        <v>1957</v>
      </c>
      <c r="L1" s="260">
        <v>1958</v>
      </c>
      <c r="M1" s="260">
        <v>1959</v>
      </c>
      <c r="N1" s="260">
        <v>1960</v>
      </c>
      <c r="O1" s="260">
        <v>1961</v>
      </c>
      <c r="P1" s="260">
        <v>1962</v>
      </c>
      <c r="Q1" s="260">
        <v>1963</v>
      </c>
      <c r="R1" s="260">
        <v>1964</v>
      </c>
      <c r="S1" s="260">
        <v>1965</v>
      </c>
      <c r="T1" s="260">
        <v>1966</v>
      </c>
      <c r="U1" s="260">
        <v>1967</v>
      </c>
      <c r="V1" s="260">
        <v>1968</v>
      </c>
      <c r="W1" s="260">
        <v>1969</v>
      </c>
      <c r="X1" s="260">
        <v>1970</v>
      </c>
      <c r="Y1" s="260">
        <v>1971</v>
      </c>
      <c r="Z1" s="260">
        <v>1972</v>
      </c>
      <c r="AA1" s="260">
        <v>1973</v>
      </c>
      <c r="AB1" s="260">
        <v>1974</v>
      </c>
      <c r="AC1" s="260">
        <v>1975</v>
      </c>
      <c r="AD1" s="260">
        <v>1976</v>
      </c>
      <c r="AE1" s="260">
        <v>1977</v>
      </c>
      <c r="AF1" s="260">
        <v>1978</v>
      </c>
      <c r="AG1" s="260">
        <v>1979</v>
      </c>
      <c r="AH1" s="260">
        <v>1980</v>
      </c>
      <c r="AI1" s="260">
        <v>1981</v>
      </c>
      <c r="AJ1" s="260">
        <v>1982</v>
      </c>
      <c r="AK1" s="260">
        <v>1983</v>
      </c>
      <c r="AL1" s="260">
        <v>1984</v>
      </c>
      <c r="AM1" s="260">
        <v>1985</v>
      </c>
      <c r="AN1" s="260">
        <v>1986</v>
      </c>
      <c r="AO1" s="260">
        <v>1987</v>
      </c>
      <c r="AP1" s="260">
        <v>1988</v>
      </c>
      <c r="AQ1" s="260">
        <v>1989</v>
      </c>
      <c r="AR1" s="260">
        <v>1990</v>
      </c>
      <c r="AS1" s="260">
        <v>1991</v>
      </c>
      <c r="AT1" s="260">
        <v>1992</v>
      </c>
      <c r="AU1" s="260">
        <v>1993</v>
      </c>
      <c r="AV1" s="260">
        <v>1994</v>
      </c>
      <c r="AW1" s="260">
        <v>1995</v>
      </c>
      <c r="AX1" s="260">
        <v>1996</v>
      </c>
      <c r="AY1" s="260">
        <v>1997</v>
      </c>
      <c r="AZ1" s="260">
        <v>1998</v>
      </c>
      <c r="BA1" s="260">
        <v>1999</v>
      </c>
      <c r="BB1" s="260">
        <v>2000</v>
      </c>
      <c r="BC1" s="260">
        <v>2001</v>
      </c>
      <c r="BD1" s="260">
        <v>2002</v>
      </c>
      <c r="BE1" s="260">
        <v>2003</v>
      </c>
      <c r="BF1" s="260">
        <v>2004</v>
      </c>
      <c r="BG1" s="260">
        <v>2005</v>
      </c>
      <c r="BH1" s="260">
        <v>2006</v>
      </c>
      <c r="BI1" s="260">
        <v>2007</v>
      </c>
      <c r="BJ1" s="260">
        <v>2008</v>
      </c>
      <c r="BK1" s="260">
        <v>2009</v>
      </c>
      <c r="BL1" s="260">
        <v>2010</v>
      </c>
      <c r="BM1" s="260">
        <v>2011</v>
      </c>
      <c r="BN1" s="260">
        <v>2012</v>
      </c>
      <c r="BO1" s="260">
        <v>2013</v>
      </c>
      <c r="BP1" s="260">
        <v>2014</v>
      </c>
      <c r="BQ1" s="261">
        <v>2015</v>
      </c>
    </row>
    <row r="2" spans="1:69">
      <c r="A2" s="262">
        <v>75</v>
      </c>
      <c r="B2" s="262"/>
      <c r="C2" s="263" t="s">
        <v>423</v>
      </c>
      <c r="D2" s="264">
        <v>4986.7244583429738</v>
      </c>
      <c r="E2" s="264">
        <v>5073.0299151549361</v>
      </c>
      <c r="F2" s="264">
        <v>4717.4138594959904</v>
      </c>
      <c r="G2" s="264">
        <v>4874.4938240833544</v>
      </c>
      <c r="H2" s="264">
        <v>4979.8286477818019</v>
      </c>
      <c r="I2" s="264">
        <v>5237.0000751803391</v>
      </c>
      <c r="J2" s="264">
        <v>5285.3146803071122</v>
      </c>
      <c r="K2" s="264">
        <v>5460.6864941696149</v>
      </c>
      <c r="L2" s="264">
        <v>5697.9809880801877</v>
      </c>
      <c r="M2" s="264">
        <v>5241.4680627084754</v>
      </c>
      <c r="N2" s="264">
        <v>5559.465947070551</v>
      </c>
      <c r="O2" s="264">
        <v>5861.8416489889569</v>
      </c>
      <c r="P2" s="264">
        <v>5677.2332249393821</v>
      </c>
      <c r="Q2" s="264">
        <v>5455.4404819340207</v>
      </c>
      <c r="R2" s="264">
        <v>5926.1266583942488</v>
      </c>
      <c r="S2" s="264">
        <v>6370.7473376684575</v>
      </c>
      <c r="T2" s="264">
        <v>6320.604234887538</v>
      </c>
      <c r="U2" s="264">
        <v>6398.9517849415015</v>
      </c>
      <c r="V2" s="264">
        <v>6577.7566222311343</v>
      </c>
      <c r="W2" s="264">
        <v>7037.2803826572053</v>
      </c>
      <c r="X2" s="264">
        <v>7301.9662167003662</v>
      </c>
      <c r="Y2" s="264">
        <v>7529.9370180763153</v>
      </c>
      <c r="Z2" s="264">
        <v>7634.565558824751</v>
      </c>
      <c r="AA2" s="264">
        <v>7961.9738793150873</v>
      </c>
      <c r="AB2" s="264">
        <v>8334.0836019255894</v>
      </c>
      <c r="AC2" s="264">
        <v>8122.4973046421492</v>
      </c>
      <c r="AD2" s="264">
        <v>7965.201829689333</v>
      </c>
      <c r="AE2" s="264">
        <v>8304.3814243108864</v>
      </c>
      <c r="AF2" s="264">
        <v>7807.2476832591165</v>
      </c>
      <c r="AG2" s="264">
        <v>8226.9098480533867</v>
      </c>
      <c r="AH2" s="264">
        <v>8205.9798872737883</v>
      </c>
      <c r="AI2" s="264">
        <v>7606.5585135884639</v>
      </c>
      <c r="AJ2" s="264">
        <v>7245.7551994544829</v>
      </c>
      <c r="AK2" s="264">
        <v>7387.0534515175932</v>
      </c>
      <c r="AL2" s="264">
        <v>7425.8542555654794</v>
      </c>
      <c r="AM2" s="264">
        <v>6834.9308815858112</v>
      </c>
      <c r="AN2" s="264">
        <v>7223.7919409214965</v>
      </c>
      <c r="AO2" s="264">
        <v>7297.9288537549401</v>
      </c>
      <c r="AP2" s="264">
        <v>7054.3630642699154</v>
      </c>
      <c r="AQ2" s="264">
        <v>6520.1092963281344</v>
      </c>
      <c r="AR2" s="264">
        <v>6432.9216612180653</v>
      </c>
      <c r="AS2" s="264">
        <v>6954.7113550323038</v>
      </c>
      <c r="AT2" s="264">
        <v>7383.7390185483182</v>
      </c>
      <c r="AU2" s="264">
        <v>7748.3668431458673</v>
      </c>
      <c r="AV2" s="264">
        <v>8126.5316462081337</v>
      </c>
      <c r="AW2" s="264">
        <v>7796.2770843667831</v>
      </c>
      <c r="AX2" s="264">
        <v>8109.4389675366901</v>
      </c>
      <c r="AY2" s="264">
        <v>8635.0498211072845</v>
      </c>
      <c r="AZ2" s="264">
        <v>8908.6471372203468</v>
      </c>
      <c r="BA2" s="264">
        <v>8547.6383292545434</v>
      </c>
      <c r="BB2" s="264">
        <v>8409.7634920560049</v>
      </c>
      <c r="BC2" s="264">
        <v>7974.8201025789685</v>
      </c>
      <c r="BD2" s="264">
        <v>7056.6209399834634</v>
      </c>
      <c r="BE2" s="264">
        <v>7547.0033891067651</v>
      </c>
      <c r="BF2" s="264">
        <v>8012.4928159031515</v>
      </c>
      <c r="BG2" s="264">
        <v>8592.4363985118962</v>
      </c>
      <c r="BH2" s="264">
        <v>9162.8537851306337</v>
      </c>
      <c r="BI2" s="264">
        <v>9785.1521933268032</v>
      </c>
      <c r="BJ2" s="264">
        <v>10020.785565583754</v>
      </c>
      <c r="BK2" s="264">
        <v>9519.3315732978299</v>
      </c>
      <c r="BL2" s="264">
        <v>10239.387235633951</v>
      </c>
      <c r="BM2" s="264">
        <v>10668.529577213201</v>
      </c>
      <c r="BN2" s="264">
        <v>10435.609268739752</v>
      </c>
      <c r="BO2" s="264">
        <v>10528.31194630149</v>
      </c>
      <c r="BP2" s="264">
        <v>10218.609253903547</v>
      </c>
      <c r="BQ2" s="264">
        <v>10021.502949165255</v>
      </c>
    </row>
    <row r="3" spans="1:69">
      <c r="A3" s="262">
        <v>78</v>
      </c>
      <c r="B3" s="262"/>
      <c r="C3" s="263" t="s">
        <v>426</v>
      </c>
      <c r="D3" s="264">
        <v>1671.7226694010403</v>
      </c>
      <c r="E3" s="264">
        <v>1702.1019089332567</v>
      </c>
      <c r="F3" s="264">
        <v>1752.2352345900965</v>
      </c>
      <c r="G3" s="264">
        <v>1784.1685211244628</v>
      </c>
      <c r="H3" s="264">
        <v>1847.5986493506441</v>
      </c>
      <c r="I3" s="264">
        <v>1925.7434242159256</v>
      </c>
      <c r="J3" s="264">
        <v>1896.435994020115</v>
      </c>
      <c r="K3" s="264">
        <v>1994.121508523471</v>
      </c>
      <c r="L3" s="264">
        <v>2111.2130412038887</v>
      </c>
      <c r="M3" s="264">
        <v>2221.0013151993194</v>
      </c>
      <c r="N3" s="264">
        <v>2334.8552008157912</v>
      </c>
      <c r="O3" s="264">
        <v>2437.2738322001751</v>
      </c>
      <c r="P3" s="264">
        <v>2510.9617528494114</v>
      </c>
      <c r="Q3" s="264">
        <v>2463.2326342878173</v>
      </c>
      <c r="R3" s="264">
        <v>2472.1776042599063</v>
      </c>
      <c r="S3" s="264">
        <v>2448.3918651637518</v>
      </c>
      <c r="T3" s="264">
        <v>2526.735225753187</v>
      </c>
      <c r="U3" s="264">
        <v>2553.9744696590701</v>
      </c>
      <c r="V3" s="264">
        <v>2704.2450821297916</v>
      </c>
      <c r="W3" s="264">
        <v>2859.8418151741153</v>
      </c>
      <c r="X3" s="264">
        <v>3056.7189096869261</v>
      </c>
      <c r="Y3" s="264">
        <v>3278.4714801811429</v>
      </c>
      <c r="Z3" s="264">
        <v>3537.8789380811704</v>
      </c>
      <c r="AA3" s="264">
        <v>3880.1213374165563</v>
      </c>
      <c r="AB3" s="264">
        <v>4080.9365052457106</v>
      </c>
      <c r="AC3" s="264">
        <v>4187.3823234967258</v>
      </c>
      <c r="AD3" s="264">
        <v>4469.6199922941141</v>
      </c>
      <c r="AE3" s="264">
        <v>4565.3607057609752</v>
      </c>
      <c r="AF3" s="264">
        <v>4678.4065798117863</v>
      </c>
      <c r="AG3" s="264">
        <v>4889.9592842690736</v>
      </c>
      <c r="AH3" s="264">
        <v>5195.0333279141605</v>
      </c>
      <c r="AI3" s="264">
        <v>4849.569813956442</v>
      </c>
      <c r="AJ3" s="264">
        <v>4762.8266732802176</v>
      </c>
      <c r="AK3" s="264">
        <v>4498.143376780843</v>
      </c>
      <c r="AL3" s="264">
        <v>4643.2267500129919</v>
      </c>
      <c r="AM3" s="264">
        <v>4913.9625278420754</v>
      </c>
      <c r="AN3" s="264">
        <v>5201.6605323975009</v>
      </c>
      <c r="AO3" s="264">
        <v>5269.529529389556</v>
      </c>
      <c r="AP3" s="264">
        <v>5154.5522475029647</v>
      </c>
      <c r="AQ3" s="264">
        <v>5223.6796964865898</v>
      </c>
      <c r="AR3" s="264">
        <v>4920.0568895944962</v>
      </c>
      <c r="AS3" s="264">
        <v>4887.8123565431251</v>
      </c>
      <c r="AT3" s="264">
        <v>4782.2112458715847</v>
      </c>
      <c r="AU3" s="264">
        <v>4937.4846943997245</v>
      </c>
      <c r="AV3" s="264">
        <v>5144.8908297211074</v>
      </c>
      <c r="AW3" s="264">
        <v>5280.4355830983559</v>
      </c>
      <c r="AX3" s="264">
        <v>5313.3281480792721</v>
      </c>
      <c r="AY3" s="264">
        <v>5411.3278119204597</v>
      </c>
      <c r="AZ3" s="264">
        <v>5333.8948068431864</v>
      </c>
      <c r="BA3" s="264">
        <v>5269.8671993141625</v>
      </c>
      <c r="BB3" s="264">
        <v>5417.9431859995457</v>
      </c>
      <c r="BC3" s="264">
        <v>5412.2551555427044</v>
      </c>
      <c r="BD3" s="264">
        <v>5481.2466171486703</v>
      </c>
      <c r="BE3" s="264">
        <v>5472.3842023112629</v>
      </c>
      <c r="BF3" s="264">
        <v>5713.4092246444225</v>
      </c>
      <c r="BG3" s="264">
        <v>5824.467509918526</v>
      </c>
      <c r="BH3" s="264">
        <v>5987.0000365977867</v>
      </c>
      <c r="BI3" s="264">
        <v>6283.6773556816661</v>
      </c>
      <c r="BJ3" s="264">
        <v>6541.1282214223902</v>
      </c>
      <c r="BK3" s="264">
        <v>6456.0919822907417</v>
      </c>
      <c r="BL3" s="264">
        <v>6878.1260426463541</v>
      </c>
      <c r="BM3" s="264">
        <v>7003.1067012931226</v>
      </c>
      <c r="BN3" s="264">
        <v>7014.0464090084079</v>
      </c>
      <c r="BO3" s="264">
        <v>7128.5228185405267</v>
      </c>
      <c r="BP3" s="264">
        <v>7080.8148368373422</v>
      </c>
      <c r="BQ3" s="264">
        <v>6940.9419066787623</v>
      </c>
    </row>
    <row r="4" spans="1:69">
      <c r="A4" s="262">
        <v>79</v>
      </c>
      <c r="B4" s="262"/>
      <c r="C4" s="263" t="s">
        <v>427</v>
      </c>
      <c r="D4" s="264">
        <v>3669.7417976228239</v>
      </c>
      <c r="E4" s="264">
        <v>3730.9978397716359</v>
      </c>
      <c r="F4" s="264">
        <v>3893.0318496927393</v>
      </c>
      <c r="G4" s="264">
        <v>4112.1311815961726</v>
      </c>
      <c r="H4" s="264">
        <v>3907.2538063020975</v>
      </c>
      <c r="I4" s="264">
        <v>3975.3890997633343</v>
      </c>
      <c r="J4" s="264">
        <v>3956.8060514514132</v>
      </c>
      <c r="K4" s="264">
        <v>4264.199786571693</v>
      </c>
      <c r="L4" s="264">
        <v>4391.5595761480072</v>
      </c>
      <c r="M4" s="264">
        <v>4042.0266947445293</v>
      </c>
      <c r="N4" s="264">
        <v>4270.2772307836149</v>
      </c>
      <c r="O4" s="264">
        <v>4366.3048581031762</v>
      </c>
      <c r="P4" s="264">
        <v>4465.2469226316498</v>
      </c>
      <c r="Q4" s="264">
        <v>4639.284081503225</v>
      </c>
      <c r="R4" s="264">
        <v>4638.2883586495691</v>
      </c>
      <c r="S4" s="264">
        <v>4577.1385377720153</v>
      </c>
      <c r="T4" s="264">
        <v>4984.4535088447892</v>
      </c>
      <c r="U4" s="264">
        <v>5045.8058150833194</v>
      </c>
      <c r="V4" s="264">
        <v>5127.6448771781143</v>
      </c>
      <c r="W4" s="264">
        <v>5220.438323300782</v>
      </c>
      <c r="X4" s="264">
        <v>5231.429388612516</v>
      </c>
      <c r="Y4" s="264">
        <v>5597.3089192947982</v>
      </c>
      <c r="Z4" s="264">
        <v>5428.5602186221477</v>
      </c>
      <c r="AA4" s="264">
        <v>5033.6803061126766</v>
      </c>
      <c r="AB4" s="264">
        <v>4991.9856938139565</v>
      </c>
      <c r="AC4" s="264">
        <v>4273.2926547864754</v>
      </c>
      <c r="AD4" s="264">
        <v>4347.0255614904754</v>
      </c>
      <c r="AE4" s="264">
        <v>4700.0844688143743</v>
      </c>
      <c r="AF4" s="264">
        <v>5010.6606703094321</v>
      </c>
      <c r="AG4" s="264">
        <v>5344.660999238522</v>
      </c>
      <c r="AH4" s="264">
        <v>5680.4148631525359</v>
      </c>
      <c r="AI4" s="264">
        <v>5932.445915985566</v>
      </c>
      <c r="AJ4" s="264">
        <v>5034.9481747410528</v>
      </c>
      <c r="AK4" s="264">
        <v>4810.2289032158733</v>
      </c>
      <c r="AL4" s="264">
        <v>5010.8884213748725</v>
      </c>
      <c r="AM4" s="264">
        <v>5029.5541667596126</v>
      </c>
      <c r="AN4" s="264">
        <v>5227.4188544536082</v>
      </c>
      <c r="AO4" s="264">
        <v>5480.2437836402169</v>
      </c>
      <c r="AP4" s="264">
        <v>5780.3973938489626</v>
      </c>
      <c r="AQ4" s="264">
        <v>6282.8974423662994</v>
      </c>
      <c r="AR4" s="264">
        <v>6400.944335125957</v>
      </c>
      <c r="AS4" s="264">
        <v>6784.4861097963731</v>
      </c>
      <c r="AT4" s="264">
        <v>7482.8086097972582</v>
      </c>
      <c r="AU4" s="264">
        <v>7869.4855216065507</v>
      </c>
      <c r="AV4" s="264">
        <v>8181.6798573664237</v>
      </c>
      <c r="AW4" s="264">
        <v>8910.4442285136993</v>
      </c>
      <c r="AX4" s="264">
        <v>9430.7523804258162</v>
      </c>
      <c r="AY4" s="264">
        <v>9959.5420915858867</v>
      </c>
      <c r="AZ4" s="264">
        <v>10225.174260217307</v>
      </c>
      <c r="BA4" s="264">
        <v>10036.078589439185</v>
      </c>
      <c r="BB4" s="264">
        <v>10421.95735565842</v>
      </c>
      <c r="BC4" s="264">
        <v>10641.105566314433</v>
      </c>
      <c r="BD4" s="264">
        <v>10809.692331397941</v>
      </c>
      <c r="BE4" s="264">
        <v>11102.720586415226</v>
      </c>
      <c r="BF4" s="264">
        <v>11766.467032329858</v>
      </c>
      <c r="BG4" s="264">
        <v>12375.601952537905</v>
      </c>
      <c r="BH4" s="264">
        <v>12957.671318586739</v>
      </c>
      <c r="BI4" s="264">
        <v>13498.643774127246</v>
      </c>
      <c r="BJ4" s="264">
        <v>13809.094649781791</v>
      </c>
      <c r="BK4" s="264">
        <v>13533.509961150168</v>
      </c>
      <c r="BL4" s="264">
        <v>14178.548564915607</v>
      </c>
      <c r="BM4" s="264">
        <v>14868.811248891754</v>
      </c>
      <c r="BN4" s="264">
        <v>15529.147576988618</v>
      </c>
      <c r="BO4" s="264">
        <v>16021.505865478488</v>
      </c>
      <c r="BP4" s="264">
        <v>16186.80437077225</v>
      </c>
      <c r="BQ4" s="264">
        <v>16518.881259263799</v>
      </c>
    </row>
    <row r="5" spans="1:69">
      <c r="A5" s="262">
        <v>80</v>
      </c>
      <c r="B5" s="262"/>
      <c r="C5" s="263" t="s">
        <v>428</v>
      </c>
      <c r="D5" s="264">
        <v>2152.8412932817723</v>
      </c>
      <c r="E5" s="264">
        <v>2150.1044713748433</v>
      </c>
      <c r="F5" s="264">
        <v>2214.4366533878733</v>
      </c>
      <c r="G5" s="264">
        <v>2276.6170502820514</v>
      </c>
      <c r="H5" s="264">
        <v>2358.4556241173932</v>
      </c>
      <c r="I5" s="264">
        <v>2372.7582449890183</v>
      </c>
      <c r="J5" s="264">
        <v>2390.6360115361254</v>
      </c>
      <c r="K5" s="264">
        <v>2399.9735468600602</v>
      </c>
      <c r="L5" s="264">
        <v>2382.5605047961076</v>
      </c>
      <c r="M5" s="264">
        <v>2473.468494626371</v>
      </c>
      <c r="N5" s="264">
        <v>2496.8144944748319</v>
      </c>
      <c r="O5" s="264">
        <v>2539.85706832505</v>
      </c>
      <c r="P5" s="264">
        <v>2593.7859074297098</v>
      </c>
      <c r="Q5" s="264">
        <v>2597.2276215166098</v>
      </c>
      <c r="R5" s="264">
        <v>2674.9032614704256</v>
      </c>
      <c r="S5" s="264">
        <v>2688.8088307655594</v>
      </c>
      <c r="T5" s="264">
        <v>2750.0644212719976</v>
      </c>
      <c r="U5" s="264">
        <v>2784.2503959339865</v>
      </c>
      <c r="V5" s="264">
        <v>2873.6818562849057</v>
      </c>
      <c r="W5" s="264">
        <v>2976.4523118825214</v>
      </c>
      <c r="X5" s="264">
        <v>3094.2164359319218</v>
      </c>
      <c r="Y5" s="264">
        <v>3194.2592999211233</v>
      </c>
      <c r="Z5" s="264">
        <v>3355.2485950115538</v>
      </c>
      <c r="AA5" s="264">
        <v>3499.3797582589555</v>
      </c>
      <c r="AB5" s="264">
        <v>3617.6794643613866</v>
      </c>
      <c r="AC5" s="264">
        <v>3620.6010362694296</v>
      </c>
      <c r="AD5" s="264">
        <v>3713.2884162675541</v>
      </c>
      <c r="AE5" s="264">
        <v>3793.2640630598353</v>
      </c>
      <c r="AF5" s="264">
        <v>4041.6813294232652</v>
      </c>
      <c r="AG5" s="264">
        <v>4177.1248849340291</v>
      </c>
      <c r="AH5" s="264">
        <v>4257.2565806766552</v>
      </c>
      <c r="AI5" s="264">
        <v>4254.6022414109866</v>
      </c>
      <c r="AJ5" s="264">
        <v>4202.4725077265866</v>
      </c>
      <c r="AK5" s="264">
        <v>4175.2240379546656</v>
      </c>
      <c r="AL5" s="264">
        <v>4228.6568600494911</v>
      </c>
      <c r="AM5" s="264">
        <v>4271.7493613016004</v>
      </c>
      <c r="AN5" s="264">
        <v>4435.6578947368416</v>
      </c>
      <c r="AO5" s="264">
        <v>4577.2179627601308</v>
      </c>
      <c r="AP5" s="264">
        <v>4669.4661067786446</v>
      </c>
      <c r="AQ5" s="264">
        <v>4726.0965115919143</v>
      </c>
      <c r="AR5" s="264">
        <v>4825.7426343417173</v>
      </c>
      <c r="AS5" s="264">
        <v>4840.1866456508178</v>
      </c>
      <c r="AT5" s="264">
        <v>4950.2103470397378</v>
      </c>
      <c r="AU5" s="264">
        <v>5131.017082074075</v>
      </c>
      <c r="AV5" s="264">
        <v>5292.5981261151928</v>
      </c>
      <c r="AW5" s="264">
        <v>5469.7553732010183</v>
      </c>
      <c r="AX5" s="264">
        <v>5497.0271697150674</v>
      </c>
      <c r="AY5" s="264">
        <v>5606.6949556584095</v>
      </c>
      <c r="AZ5" s="264">
        <v>5562.8360907715587</v>
      </c>
      <c r="BA5" s="264">
        <v>5269.378818997925</v>
      </c>
      <c r="BB5" s="264">
        <v>5375.2056390646339</v>
      </c>
      <c r="BC5" s="264">
        <v>5409.4937912327459</v>
      </c>
      <c r="BD5" s="264">
        <v>5476.339899945222</v>
      </c>
      <c r="BE5" s="264">
        <v>5613.9030625213345</v>
      </c>
      <c r="BF5" s="264">
        <v>5830.7640025184091</v>
      </c>
      <c r="BG5" s="264">
        <v>6021.9566841625347</v>
      </c>
      <c r="BH5" s="264">
        <v>6339.9361159172558</v>
      </c>
      <c r="BI5" s="264">
        <v>6689.7529103680799</v>
      </c>
      <c r="BJ5" s="264">
        <v>6839.7111502048328</v>
      </c>
      <c r="BK5" s="264">
        <v>6867.3086743879212</v>
      </c>
      <c r="BL5" s="264">
        <v>7054.7943835038186</v>
      </c>
      <c r="BM5" s="264">
        <v>7432.2016426204409</v>
      </c>
      <c r="BN5" s="264">
        <v>7645.3499556170582</v>
      </c>
      <c r="BO5" s="264">
        <v>7914.3565887214099</v>
      </c>
      <c r="BP5" s="264">
        <v>8185.2798539106161</v>
      </c>
      <c r="BQ5" s="264">
        <v>8358.3874379080171</v>
      </c>
    </row>
    <row r="6" spans="1:69">
      <c r="A6" s="262">
        <v>83</v>
      </c>
      <c r="B6" s="262"/>
      <c r="C6" s="263" t="s">
        <v>431</v>
      </c>
      <c r="D6" s="264">
        <v>1862.9328878278791</v>
      </c>
      <c r="E6" s="264">
        <v>1835.1154812782652</v>
      </c>
      <c r="F6" s="264">
        <v>2008.8746666786897</v>
      </c>
      <c r="G6" s="264">
        <v>1998.3028564008423</v>
      </c>
      <c r="H6" s="264">
        <v>2103.3319644430753</v>
      </c>
      <c r="I6" s="264">
        <v>2101.2914067487527</v>
      </c>
      <c r="J6" s="264">
        <v>2120.5053858506853</v>
      </c>
      <c r="K6" s="264">
        <v>2156.2764498686051</v>
      </c>
      <c r="L6" s="264">
        <v>2158.6863337922969</v>
      </c>
      <c r="M6" s="264">
        <v>2211.3902677390083</v>
      </c>
      <c r="N6" s="264">
        <v>2288.5191790860235</v>
      </c>
      <c r="O6" s="264">
        <v>2278.8277762710236</v>
      </c>
      <c r="P6" s="264">
        <v>2330.5601995169709</v>
      </c>
      <c r="Q6" s="264">
        <v>2320.2722198363053</v>
      </c>
      <c r="R6" s="264">
        <v>2410.9724711914255</v>
      </c>
      <c r="S6" s="264">
        <v>2565.7614367482452</v>
      </c>
      <c r="T6" s="264">
        <v>2555.6462333188369</v>
      </c>
      <c r="U6" s="264">
        <v>2611.7254470564153</v>
      </c>
      <c r="V6" s="264">
        <v>2675.2189818516417</v>
      </c>
      <c r="W6" s="264">
        <v>2738.8446106312331</v>
      </c>
      <c r="X6" s="264">
        <v>2845.3106673810107</v>
      </c>
      <c r="Y6" s="264">
        <v>2921.8020678550602</v>
      </c>
      <c r="Z6" s="264">
        <v>3012.0735376511575</v>
      </c>
      <c r="AA6" s="264">
        <v>3290.2015770824205</v>
      </c>
      <c r="AB6" s="264">
        <v>3383.0208751186719</v>
      </c>
      <c r="AC6" s="264">
        <v>3459.406976267001</v>
      </c>
      <c r="AD6" s="264">
        <v>3686.7176505902216</v>
      </c>
      <c r="AE6" s="264">
        <v>3809.7967458117791</v>
      </c>
      <c r="AF6" s="264">
        <v>3960.78100448739</v>
      </c>
      <c r="AG6" s="264">
        <v>4059.6725391334435</v>
      </c>
      <c r="AH6" s="264">
        <v>4129.2852887172894</v>
      </c>
      <c r="AI6" s="264">
        <v>4181.3872806525123</v>
      </c>
      <c r="AJ6" s="264">
        <v>4114.4653561801852</v>
      </c>
      <c r="AK6" s="264">
        <v>3921.8040997061262</v>
      </c>
      <c r="AL6" s="264">
        <v>3974.8107514886137</v>
      </c>
      <c r="AM6" s="264">
        <v>4035.6826295920928</v>
      </c>
      <c r="AN6" s="264">
        <v>4047.7006817378146</v>
      </c>
      <c r="AO6" s="264">
        <v>3696.9529472429899</v>
      </c>
      <c r="AP6" s="264">
        <v>3988.1063356164036</v>
      </c>
      <c r="AQ6" s="264">
        <v>3893.5242579707874</v>
      </c>
      <c r="AR6" s="264">
        <v>3902.583786294213</v>
      </c>
      <c r="AS6" s="264">
        <v>4026.3950958234263</v>
      </c>
      <c r="AT6" s="264">
        <v>4063.2639544828467</v>
      </c>
      <c r="AU6" s="264">
        <v>4066.4279107452853</v>
      </c>
      <c r="AV6" s="264">
        <v>4139.9266753206703</v>
      </c>
      <c r="AW6" s="264">
        <v>4138.0915176668859</v>
      </c>
      <c r="AX6" s="264">
        <v>4114.4767094344124</v>
      </c>
      <c r="AY6" s="264">
        <v>4195.7230358619508</v>
      </c>
      <c r="AZ6" s="264">
        <v>4239.9588277274152</v>
      </c>
      <c r="BA6" s="264">
        <v>3967.3445476426414</v>
      </c>
      <c r="BB6" s="264">
        <v>3953.4515172425522</v>
      </c>
      <c r="BC6" s="264">
        <v>4052.5294324141214</v>
      </c>
      <c r="BD6" s="264">
        <v>4153.3822760392386</v>
      </c>
      <c r="BE6" s="264">
        <v>4185.9026987520547</v>
      </c>
      <c r="BF6" s="264">
        <v>4429.9186363556782</v>
      </c>
      <c r="BG6" s="264">
        <v>4563.9749150036369</v>
      </c>
      <c r="BH6" s="264">
        <v>4677.7326911864839</v>
      </c>
      <c r="BI6" s="264">
        <v>4706.4886588773625</v>
      </c>
      <c r="BJ6" s="264">
        <v>4929.1377795435801</v>
      </c>
      <c r="BK6" s="264">
        <v>4882.6929463953311</v>
      </c>
      <c r="BL6" s="264">
        <v>4980.4874949068217</v>
      </c>
      <c r="BM6" s="264">
        <v>5294.7720319192631</v>
      </c>
      <c r="BN6" s="264">
        <v>5492.0078949309627</v>
      </c>
      <c r="BO6" s="264">
        <v>5666.6164881205186</v>
      </c>
      <c r="BP6" s="264">
        <v>5801.287388444789</v>
      </c>
      <c r="BQ6" s="264">
        <v>5831.0564398689903</v>
      </c>
    </row>
    <row r="7" spans="1:69">
      <c r="A7" s="262">
        <v>86</v>
      </c>
      <c r="B7" s="262"/>
      <c r="C7" s="263" t="s">
        <v>434</v>
      </c>
      <c r="D7" s="264">
        <v>2365.0192837117406</v>
      </c>
      <c r="E7" s="264">
        <v>2477.3831859281572</v>
      </c>
      <c r="F7" s="264">
        <v>2503.987733409253</v>
      </c>
      <c r="G7" s="264">
        <v>2439.0873479626798</v>
      </c>
      <c r="H7" s="264">
        <v>2605.1411376780075</v>
      </c>
      <c r="I7" s="264">
        <v>2742.4001168056502</v>
      </c>
      <c r="J7" s="264">
        <v>2842.8187144680801</v>
      </c>
      <c r="K7" s="264">
        <v>2964.7401205887168</v>
      </c>
      <c r="L7" s="264">
        <v>3025.0992233264637</v>
      </c>
      <c r="M7" s="264">
        <v>3016.4379109497831</v>
      </c>
      <c r="N7" s="264">
        <v>3155.2026186603139</v>
      </c>
      <c r="O7" s="264">
        <v>3172.1124212808286</v>
      </c>
      <c r="P7" s="264">
        <v>3210.9492154770187</v>
      </c>
      <c r="Q7" s="264">
        <v>3342.5582684785104</v>
      </c>
      <c r="R7" s="264">
        <v>3593.6842333706268</v>
      </c>
      <c r="S7" s="264">
        <v>3701.9742792136503</v>
      </c>
      <c r="T7" s="264">
        <v>3812.5325649033243</v>
      </c>
      <c r="U7" s="264">
        <v>3922.4045708062276</v>
      </c>
      <c r="V7" s="264">
        <v>4072.5742098410578</v>
      </c>
      <c r="W7" s="264">
        <v>4185.4845601707721</v>
      </c>
      <c r="X7" s="264">
        <v>4319.6459970806718</v>
      </c>
      <c r="Y7" s="264">
        <v>4364.8874616107978</v>
      </c>
      <c r="Z7" s="264">
        <v>4601.9335351446962</v>
      </c>
      <c r="AA7" s="264">
        <v>4852.5901222300145</v>
      </c>
      <c r="AB7" s="264">
        <v>5012.7836384852899</v>
      </c>
      <c r="AC7" s="264">
        <v>5158.3402200911378</v>
      </c>
      <c r="AD7" s="264">
        <v>5243.7670970044273</v>
      </c>
      <c r="AE7" s="264">
        <v>5293.2736361130374</v>
      </c>
      <c r="AF7" s="264">
        <v>5595.136852967541</v>
      </c>
      <c r="AG7" s="264">
        <v>5967.5684320975179</v>
      </c>
      <c r="AH7" s="264">
        <v>6320.3940557924598</v>
      </c>
      <c r="AI7" s="264">
        <v>6716.8350765678342</v>
      </c>
      <c r="AJ7" s="264">
        <v>6513.7229424128991</v>
      </c>
      <c r="AK7" s="264">
        <v>6087.5744506271503</v>
      </c>
      <c r="AL7" s="264">
        <v>6162.4553753484033</v>
      </c>
      <c r="AM7" s="264">
        <v>6194.1147410239191</v>
      </c>
      <c r="AN7" s="264">
        <v>5834.2787188005268</v>
      </c>
      <c r="AO7" s="264">
        <v>5817.9418583236275</v>
      </c>
      <c r="AP7" s="264">
        <v>5770.8794336384017</v>
      </c>
      <c r="AQ7" s="264">
        <v>5898.8324805801676</v>
      </c>
      <c r="AR7" s="264">
        <v>6084.9108221137394</v>
      </c>
      <c r="AS7" s="264">
        <v>6227.2028945946931</v>
      </c>
      <c r="AT7" s="264">
        <v>6334.6818142612474</v>
      </c>
      <c r="AU7" s="264">
        <v>6340.4523975189213</v>
      </c>
      <c r="AV7" s="264">
        <v>6504.6805461227086</v>
      </c>
      <c r="AW7" s="264">
        <v>6000.8781804755481</v>
      </c>
      <c r="AX7" s="264">
        <v>6206.7642078427716</v>
      </c>
      <c r="AY7" s="264">
        <v>6520.8546388046234</v>
      </c>
      <c r="AZ7" s="264">
        <v>6744.9660041565958</v>
      </c>
      <c r="BA7" s="264">
        <v>6903.3935433413935</v>
      </c>
      <c r="BB7" s="264">
        <v>7262.0416140234602</v>
      </c>
      <c r="BC7" s="264">
        <v>7162.7394889103116</v>
      </c>
      <c r="BD7" s="264">
        <v>7123.2898527198458</v>
      </c>
      <c r="BE7" s="264">
        <v>7126.8626119960018</v>
      </c>
      <c r="BF7" s="264">
        <v>7328.9752762906101</v>
      </c>
      <c r="BG7" s="264">
        <v>7458.9880566111533</v>
      </c>
      <c r="BH7" s="264">
        <v>7732.942284472706</v>
      </c>
      <c r="BI7" s="264">
        <v>7878.4720417936687</v>
      </c>
      <c r="BJ7" s="264">
        <v>7878.6297423074884</v>
      </c>
      <c r="BK7" s="264">
        <v>7399.3567291284171</v>
      </c>
      <c r="BL7" s="264">
        <v>7672.4750968551971</v>
      </c>
      <c r="BM7" s="264">
        <v>7854.1797802929623</v>
      </c>
      <c r="BN7" s="264">
        <v>8052.1739071375468</v>
      </c>
      <c r="BO7" s="264">
        <v>8034.318210707369</v>
      </c>
      <c r="BP7" s="264">
        <v>8104.8645024813995</v>
      </c>
      <c r="BQ7" s="264">
        <v>8248.5672138710215</v>
      </c>
    </row>
    <row r="8" spans="1:69">
      <c r="A8" s="262">
        <v>87</v>
      </c>
      <c r="B8" s="262"/>
      <c r="C8" s="263" t="s">
        <v>435</v>
      </c>
      <c r="D8" s="264">
        <v>2307.6318375368492</v>
      </c>
      <c r="E8" s="264">
        <v>2425.6982954690652</v>
      </c>
      <c r="F8" s="264">
        <v>2487.3842780069031</v>
      </c>
      <c r="G8" s="264">
        <v>2578.5644003352727</v>
      </c>
      <c r="H8" s="264">
        <v>2582.8104652539359</v>
      </c>
      <c r="I8" s="264">
        <v>2702.9925618405118</v>
      </c>
      <c r="J8" s="264">
        <v>2751.2942312659325</v>
      </c>
      <c r="K8" s="264">
        <v>2809.5035042258451</v>
      </c>
      <c r="L8" s="264">
        <v>2742.984239147786</v>
      </c>
      <c r="M8" s="264">
        <v>2682.4949781523742</v>
      </c>
      <c r="N8" s="264">
        <v>2969.0866982177022</v>
      </c>
      <c r="O8" s="264">
        <v>3142.1580621482753</v>
      </c>
      <c r="P8" s="264">
        <v>3280.5591213806874</v>
      </c>
      <c r="Q8" s="264">
        <v>3334.4417964492236</v>
      </c>
      <c r="R8" s="264">
        <v>3465.159061336205</v>
      </c>
      <c r="S8" s="264">
        <v>3593.9584732238632</v>
      </c>
      <c r="T8" s="264">
        <v>3788.3591604218236</v>
      </c>
      <c r="U8" s="264">
        <v>3830.5501063286129</v>
      </c>
      <c r="V8" s="264">
        <v>3685.4761141391468</v>
      </c>
      <c r="W8" s="264">
        <v>3676.4854900187852</v>
      </c>
      <c r="X8" s="264">
        <v>3854.2235158571343</v>
      </c>
      <c r="Y8" s="264">
        <v>3915.8184886831809</v>
      </c>
      <c r="Z8" s="264">
        <v>3929.6437759321229</v>
      </c>
      <c r="AA8" s="264">
        <v>4022.8427280265919</v>
      </c>
      <c r="AB8" s="264">
        <v>4119.3376307352355</v>
      </c>
      <c r="AC8" s="264">
        <v>4325.9771209387864</v>
      </c>
      <c r="AD8" s="264">
        <v>4270.6061869497717</v>
      </c>
      <c r="AE8" s="264">
        <v>4156.9473709950144</v>
      </c>
      <c r="AF8" s="264">
        <v>4049.0669198427545</v>
      </c>
      <c r="AG8" s="264">
        <v>4180.7975796825613</v>
      </c>
      <c r="AH8" s="264">
        <v>4262.8349046081776</v>
      </c>
      <c r="AI8" s="264">
        <v>4342.3755088624494</v>
      </c>
      <c r="AJ8" s="264">
        <v>4247.1248555549446</v>
      </c>
      <c r="AK8" s="264">
        <v>3594.1046743047714</v>
      </c>
      <c r="AL8" s="264">
        <v>3675.6614591552261</v>
      </c>
      <c r="AM8" s="264">
        <v>3666.0662824207493</v>
      </c>
      <c r="AN8" s="264">
        <v>3946.0085620750442</v>
      </c>
      <c r="AO8" s="264">
        <v>4192.2090729783031</v>
      </c>
      <c r="AP8" s="264">
        <v>3766.4413326895219</v>
      </c>
      <c r="AQ8" s="264">
        <v>3237.0100704458418</v>
      </c>
      <c r="AR8" s="264">
        <v>3008.287037037037</v>
      </c>
      <c r="AS8" s="264">
        <v>3028.2291827027834</v>
      </c>
      <c r="AT8" s="264">
        <v>2952.7269462297536</v>
      </c>
      <c r="AU8" s="264">
        <v>3029.9570716637299</v>
      </c>
      <c r="AV8" s="264">
        <v>3351.227961736774</v>
      </c>
      <c r="AW8" s="264">
        <v>3533.2811132942784</v>
      </c>
      <c r="AX8" s="264">
        <v>3568.8966098375809</v>
      </c>
      <c r="AY8" s="264">
        <v>3737.6071376096238</v>
      </c>
      <c r="AZ8" s="264">
        <v>3665.5701739957312</v>
      </c>
      <c r="BA8" s="264">
        <v>3666.8512984363006</v>
      </c>
      <c r="BB8" s="264">
        <v>3714.2501513648967</v>
      </c>
      <c r="BC8" s="264">
        <v>3687.8340235214018</v>
      </c>
      <c r="BD8" s="264">
        <v>3839.3552077336185</v>
      </c>
      <c r="BE8" s="264">
        <v>3950.132449357824</v>
      </c>
      <c r="BF8" s="264">
        <v>4097.0351490231387</v>
      </c>
      <c r="BG8" s="264">
        <v>4304.9152279967984</v>
      </c>
      <c r="BH8" s="264">
        <v>4577.8555131153316</v>
      </c>
      <c r="BI8" s="264">
        <v>4914.579517182794</v>
      </c>
      <c r="BJ8" s="264">
        <v>5307.5112200413269</v>
      </c>
      <c r="BK8" s="264">
        <v>5307.1295743304699</v>
      </c>
      <c r="BL8" s="264">
        <v>5695.8547186015267</v>
      </c>
      <c r="BM8" s="264">
        <v>6000.9721361748534</v>
      </c>
      <c r="BN8" s="264">
        <v>6293.3774077765129</v>
      </c>
      <c r="BO8" s="264">
        <v>6588.8652790606229</v>
      </c>
      <c r="BP8" s="264">
        <v>6676.9600947448416</v>
      </c>
      <c r="BQ8" s="264">
        <v>6863.6390539068543</v>
      </c>
    </row>
    <row r="9" spans="1:69">
      <c r="A9" s="262">
        <v>91</v>
      </c>
      <c r="B9" s="262"/>
      <c r="C9" s="263" t="s">
        <v>440</v>
      </c>
      <c r="D9" s="264">
        <v>7461.9595185152493</v>
      </c>
      <c r="E9" s="264">
        <v>7663.1870301436447</v>
      </c>
      <c r="F9" s="264">
        <v>7991.8111144120267</v>
      </c>
      <c r="G9" s="264">
        <v>7956.457398225918</v>
      </c>
      <c r="H9" s="264">
        <v>8417.386109319239</v>
      </c>
      <c r="I9" s="264">
        <v>8749.8624503018164</v>
      </c>
      <c r="J9" s="264">
        <v>9123.6977308073001</v>
      </c>
      <c r="K9" s="264">
        <v>10057.785944343359</v>
      </c>
      <c r="L9" s="264">
        <v>9816.2834009999042</v>
      </c>
      <c r="M9" s="264">
        <v>9997.4035755805107</v>
      </c>
      <c r="N9" s="264">
        <v>9645.8894964760711</v>
      </c>
      <c r="O9" s="264">
        <v>9001.5897376040975</v>
      </c>
      <c r="P9" s="264">
        <v>9057.9151764471117</v>
      </c>
      <c r="Q9" s="264">
        <v>9134.3797357787043</v>
      </c>
      <c r="R9" s="264">
        <v>9562.0938526687078</v>
      </c>
      <c r="S9" s="264">
        <v>9841.4874276762603</v>
      </c>
      <c r="T9" s="264">
        <v>9677.2447858653122</v>
      </c>
      <c r="U9" s="264">
        <v>9921.5700168246694</v>
      </c>
      <c r="V9" s="264">
        <v>10249.347066717457</v>
      </c>
      <c r="W9" s="264">
        <v>10262.422775778788</v>
      </c>
      <c r="X9" s="264">
        <v>10671.762277378813</v>
      </c>
      <c r="Y9" s="264">
        <v>10446.306224534697</v>
      </c>
      <c r="Z9" s="264">
        <v>10245.362636530517</v>
      </c>
      <c r="AA9" s="264">
        <v>10625.042304172148</v>
      </c>
      <c r="AB9" s="264">
        <v>10507.499575345168</v>
      </c>
      <c r="AC9" s="264">
        <v>10471.647821019462</v>
      </c>
      <c r="AD9" s="264">
        <v>10929.354395426944</v>
      </c>
      <c r="AE9" s="264">
        <v>11250.882452283149</v>
      </c>
      <c r="AF9" s="264">
        <v>11164.307294385457</v>
      </c>
      <c r="AG9" s="264">
        <v>10919.590554364691</v>
      </c>
      <c r="AH9" s="264">
        <v>10139.227743435251</v>
      </c>
      <c r="AI9" s="264">
        <v>9841.1242590870334</v>
      </c>
      <c r="AJ9" s="264">
        <v>9356.1352881158327</v>
      </c>
      <c r="AK9" s="264">
        <v>8745.4211116262413</v>
      </c>
      <c r="AL9" s="264">
        <v>8623.0344251669012</v>
      </c>
      <c r="AM9" s="264">
        <v>8521.4251099970006</v>
      </c>
      <c r="AN9" s="264">
        <v>8724.5040317966123</v>
      </c>
      <c r="AO9" s="264">
        <v>8804.9356505701617</v>
      </c>
      <c r="AP9" s="264">
        <v>9080.1039952370538</v>
      </c>
      <c r="AQ9" s="264">
        <v>8093.9605390180805</v>
      </c>
      <c r="AR9" s="264">
        <v>8312.8669880221805</v>
      </c>
      <c r="AS9" s="264">
        <v>8907.1663675441341</v>
      </c>
      <c r="AT9" s="264">
        <v>9234.4986349208139</v>
      </c>
      <c r="AU9" s="264">
        <v>9060.6081788211359</v>
      </c>
      <c r="AV9" s="264">
        <v>8665.7167389570186</v>
      </c>
      <c r="AW9" s="264">
        <v>8831.3461268800602</v>
      </c>
      <c r="AX9" s="264">
        <v>8648.6175663554059</v>
      </c>
      <c r="AY9" s="264">
        <v>9034.62731493725</v>
      </c>
      <c r="AZ9" s="264">
        <v>8906.0422916831976</v>
      </c>
      <c r="BA9" s="264">
        <v>8237.7084070330766</v>
      </c>
      <c r="BB9" s="264">
        <v>8409.0442236620165</v>
      </c>
      <c r="BC9" s="264">
        <v>8566.4337353224309</v>
      </c>
      <c r="BD9" s="264">
        <v>7695.5394640202467</v>
      </c>
      <c r="BE9" s="264">
        <v>6996.4437969499377</v>
      </c>
      <c r="BF9" s="264">
        <v>8156.4993544149565</v>
      </c>
      <c r="BG9" s="264">
        <v>8868.2633521251209</v>
      </c>
      <c r="BH9" s="264">
        <v>9602.2832920413421</v>
      </c>
      <c r="BI9" s="264">
        <v>10289.50973527833</v>
      </c>
      <c r="BJ9" s="264">
        <v>10672.11033294888</v>
      </c>
      <c r="BK9" s="264">
        <v>10176.247186221302</v>
      </c>
      <c r="BL9" s="264">
        <v>9874.3594765245962</v>
      </c>
      <c r="BM9" s="264">
        <v>10133.205732462489</v>
      </c>
      <c r="BN9" s="264">
        <v>10545.998940879699</v>
      </c>
      <c r="BO9" s="264">
        <v>10533.237791296973</v>
      </c>
      <c r="BP9" s="264">
        <v>9844.9465380838883</v>
      </c>
      <c r="BQ9" s="264">
        <v>9222.6822820256984</v>
      </c>
    </row>
    <row r="11" spans="1:69">
      <c r="C11" s="263" t="s">
        <v>423</v>
      </c>
      <c r="D11" s="236">
        <f>E2/D2*100-100</f>
        <v>1.7307043437615732</v>
      </c>
      <c r="E11" s="236">
        <f t="shared" ref="E11:BP14" si="0">F2/E2*100-100</f>
        <v>-7.0099341341669259</v>
      </c>
      <c r="F11" s="236">
        <f t="shared" si="0"/>
        <v>3.3297897802875127</v>
      </c>
      <c r="G11" s="236">
        <f t="shared" si="0"/>
        <v>2.1609387046101318</v>
      </c>
      <c r="H11" s="236">
        <f t="shared" si="0"/>
        <v>5.1642625798598658</v>
      </c>
      <c r="I11" s="236">
        <f t="shared" si="0"/>
        <v>0.92256262045422943</v>
      </c>
      <c r="J11" s="236">
        <f t="shared" si="0"/>
        <v>3.3180959785787536</v>
      </c>
      <c r="K11" s="236">
        <f t="shared" si="0"/>
        <v>4.3455066348147398</v>
      </c>
      <c r="L11" s="236">
        <f t="shared" si="0"/>
        <v>-8.0118365843394059</v>
      </c>
      <c r="M11" s="236">
        <f t="shared" si="0"/>
        <v>6.0669621670412965</v>
      </c>
      <c r="N11" s="236">
        <f t="shared" si="0"/>
        <v>5.4389343292539962</v>
      </c>
      <c r="O11" s="236">
        <f t="shared" si="0"/>
        <v>-3.1493246509211872</v>
      </c>
      <c r="P11" s="236">
        <f t="shared" si="0"/>
        <v>-3.9067048017518999</v>
      </c>
      <c r="Q11" s="236">
        <f t="shared" si="0"/>
        <v>8.6278308418711589</v>
      </c>
      <c r="R11" s="236">
        <f t="shared" si="0"/>
        <v>7.5027198185919843</v>
      </c>
      <c r="S11" s="236">
        <f t="shared" si="0"/>
        <v>-0.78708352604783727</v>
      </c>
      <c r="T11" s="236">
        <f t="shared" si="0"/>
        <v>1.2395579147561904</v>
      </c>
      <c r="U11" s="236">
        <f t="shared" si="0"/>
        <v>2.7942832404271201</v>
      </c>
      <c r="V11" s="236">
        <f t="shared" si="0"/>
        <v>6.9860255831448512</v>
      </c>
      <c r="W11" s="236">
        <f t="shared" si="0"/>
        <v>3.7611949453578291</v>
      </c>
      <c r="X11" s="236">
        <f t="shared" si="0"/>
        <v>3.1220467831603429</v>
      </c>
      <c r="Y11" s="236">
        <f t="shared" si="0"/>
        <v>1.3895008749378093</v>
      </c>
      <c r="Z11" s="236">
        <f t="shared" si="0"/>
        <v>4.2884996921912233</v>
      </c>
      <c r="AA11" s="236">
        <f t="shared" si="0"/>
        <v>4.6735863273456459</v>
      </c>
      <c r="AB11" s="236">
        <f t="shared" si="0"/>
        <v>-2.5388069929434494</v>
      </c>
      <c r="AC11" s="236">
        <f t="shared" si="0"/>
        <v>-1.9365408082427962</v>
      </c>
      <c r="AD11" s="236">
        <f t="shared" si="0"/>
        <v>4.2582674221424384</v>
      </c>
      <c r="AE11" s="236">
        <f t="shared" si="0"/>
        <v>-5.9864030281222682</v>
      </c>
      <c r="AF11" s="236">
        <f t="shared" si="0"/>
        <v>5.3752894979128314</v>
      </c>
      <c r="AG11" s="236">
        <f t="shared" si="0"/>
        <v>-0.25440853450643885</v>
      </c>
      <c r="AH11" s="236">
        <f t="shared" si="0"/>
        <v>-7.3046897740382519</v>
      </c>
      <c r="AI11" s="236">
        <f t="shared" si="0"/>
        <v>-4.7433187227763653</v>
      </c>
      <c r="AJ11" s="236">
        <f t="shared" si="0"/>
        <v>1.9500831614315075</v>
      </c>
      <c r="AK11" s="236">
        <f t="shared" si="0"/>
        <v>0.52525413959085654</v>
      </c>
      <c r="AL11" s="236">
        <f t="shared" si="0"/>
        <v>-7.9576484218874413</v>
      </c>
      <c r="AM11" s="236">
        <f t="shared" si="0"/>
        <v>5.6893195567394343</v>
      </c>
      <c r="AN11" s="236">
        <f t="shared" si="0"/>
        <v>1.0262880415128137</v>
      </c>
      <c r="AO11" s="236">
        <f t="shared" si="0"/>
        <v>-3.3374645651650212</v>
      </c>
      <c r="AP11" s="236">
        <f t="shared" si="0"/>
        <v>-7.5733806592370598</v>
      </c>
      <c r="AQ11" s="236">
        <f t="shared" si="0"/>
        <v>-1.3372112513385304</v>
      </c>
      <c r="AR11" s="236">
        <f t="shared" si="0"/>
        <v>8.1112396713912176</v>
      </c>
      <c r="AS11" s="236">
        <f t="shared" si="0"/>
        <v>6.1688780686142763</v>
      </c>
      <c r="AT11" s="236">
        <f t="shared" si="0"/>
        <v>4.938254503329361</v>
      </c>
      <c r="AU11" s="236">
        <f t="shared" si="0"/>
        <v>4.8805743289863415</v>
      </c>
      <c r="AV11" s="236">
        <f t="shared" si="0"/>
        <v>-4.06390544231067</v>
      </c>
      <c r="AW11" s="236">
        <f t="shared" si="0"/>
        <v>4.0168131504441362</v>
      </c>
      <c r="AX11" s="236">
        <f t="shared" si="0"/>
        <v>6.481469996564428</v>
      </c>
      <c r="AY11" s="236">
        <f t="shared" si="0"/>
        <v>3.168450927107429</v>
      </c>
      <c r="AZ11" s="236">
        <f t="shared" si="0"/>
        <v>-4.0523415329529371</v>
      </c>
      <c r="BA11" s="236">
        <f t="shared" si="0"/>
        <v>-1.613016740854107</v>
      </c>
      <c r="BB11" s="236">
        <f t="shared" si="0"/>
        <v>-5.1718861046198441</v>
      </c>
      <c r="BC11" s="236">
        <f t="shared" si="0"/>
        <v>-11.513728846354411</v>
      </c>
      <c r="BD11" s="236">
        <f t="shared" si="0"/>
        <v>6.9492530956955676</v>
      </c>
      <c r="BE11" s="236">
        <f t="shared" si="0"/>
        <v>6.1678709124242062</v>
      </c>
      <c r="BF11" s="236">
        <f t="shared" si="0"/>
        <v>7.237991920038624</v>
      </c>
      <c r="BG11" s="236">
        <f t="shared" si="0"/>
        <v>6.6385988811919106</v>
      </c>
      <c r="BH11" s="236">
        <f t="shared" si="0"/>
        <v>6.7915348513585059</v>
      </c>
      <c r="BI11" s="236">
        <f t="shared" si="0"/>
        <v>2.4080705910496363</v>
      </c>
      <c r="BJ11" s="236">
        <f t="shared" si="0"/>
        <v>-5.0041385378823122</v>
      </c>
      <c r="BK11" s="236">
        <f t="shared" si="0"/>
        <v>7.5641409986801023</v>
      </c>
      <c r="BL11" s="236">
        <f t="shared" si="0"/>
        <v>4.1910939756804737</v>
      </c>
      <c r="BM11" s="236">
        <f t="shared" si="0"/>
        <v>-2.1832465925851778</v>
      </c>
      <c r="BN11" s="236">
        <f t="shared" si="0"/>
        <v>0.88833028503118783</v>
      </c>
      <c r="BO11" s="236">
        <f t="shared" si="0"/>
        <v>-2.9416177443976466</v>
      </c>
      <c r="BP11" s="236">
        <f t="shared" si="0"/>
        <v>-1.9288956044874368</v>
      </c>
    </row>
    <row r="12" spans="1:69">
      <c r="C12" s="263" t="s">
        <v>426</v>
      </c>
      <c r="D12" s="236">
        <f t="shared" ref="D12:S18" si="1">E3/D3*100-100</f>
        <v>1.8172415848796817</v>
      </c>
      <c r="E12" s="236">
        <f t="shared" si="0"/>
        <v>2.9453774414869969</v>
      </c>
      <c r="F12" s="236">
        <f t="shared" si="0"/>
        <v>1.8224314808871185</v>
      </c>
      <c r="G12" s="236">
        <f t="shared" si="0"/>
        <v>3.5551646313210767</v>
      </c>
      <c r="H12" s="236">
        <f t="shared" si="0"/>
        <v>4.2295319328549112</v>
      </c>
      <c r="I12" s="236">
        <f t="shared" si="0"/>
        <v>-1.5218761662262068</v>
      </c>
      <c r="J12" s="236">
        <f t="shared" si="0"/>
        <v>5.1510050859285599</v>
      </c>
      <c r="K12" s="236">
        <f t="shared" si="0"/>
        <v>5.8718354011996468</v>
      </c>
      <c r="L12" s="236">
        <f t="shared" si="0"/>
        <v>5.2002461074617656</v>
      </c>
      <c r="M12" s="236">
        <f t="shared" si="0"/>
        <v>5.1262412515165039</v>
      </c>
      <c r="N12" s="236">
        <f t="shared" si="0"/>
        <v>4.386508908501014</v>
      </c>
      <c r="O12" s="236">
        <f t="shared" si="0"/>
        <v>3.0233747097147869</v>
      </c>
      <c r="P12" s="236">
        <f t="shared" si="0"/>
        <v>-1.9008301702497619</v>
      </c>
      <c r="Q12" s="236">
        <f t="shared" si="0"/>
        <v>0.36313947158608073</v>
      </c>
      <c r="R12" s="236">
        <f t="shared" si="0"/>
        <v>-0.96213714804180483</v>
      </c>
      <c r="S12" s="236">
        <f t="shared" si="0"/>
        <v>3.1997884694897607</v>
      </c>
      <c r="T12" s="236">
        <f t="shared" si="0"/>
        <v>1.0780410874971409</v>
      </c>
      <c r="U12" s="236">
        <f t="shared" si="0"/>
        <v>5.8837946211256025</v>
      </c>
      <c r="V12" s="236">
        <f t="shared" si="0"/>
        <v>5.7537955443660991</v>
      </c>
      <c r="W12" s="236">
        <f t="shared" si="0"/>
        <v>6.8841952540240214</v>
      </c>
      <c r="X12" s="236">
        <f t="shared" si="0"/>
        <v>7.2545947810729103</v>
      </c>
      <c r="Y12" s="236">
        <f t="shared" si="0"/>
        <v>7.9124512587095808</v>
      </c>
      <c r="Z12" s="236">
        <f t="shared" si="0"/>
        <v>9.6736605555250321</v>
      </c>
      <c r="AA12" s="236">
        <f t="shared" si="0"/>
        <v>5.1754868048240041</v>
      </c>
      <c r="AB12" s="236">
        <f t="shared" si="0"/>
        <v>2.6083674204239173</v>
      </c>
      <c r="AC12" s="236">
        <f t="shared" si="0"/>
        <v>6.7401934428978052</v>
      </c>
      <c r="AD12" s="236">
        <f t="shared" si="0"/>
        <v>2.1420325135453027</v>
      </c>
      <c r="AE12" s="236">
        <f t="shared" si="0"/>
        <v>2.4761652219102785</v>
      </c>
      <c r="AF12" s="236">
        <f t="shared" si="0"/>
        <v>4.5218965228498433</v>
      </c>
      <c r="AG12" s="236">
        <f t="shared" si="0"/>
        <v>6.2387849450302326</v>
      </c>
      <c r="AH12" s="236">
        <f t="shared" si="0"/>
        <v>-6.6498806100330512</v>
      </c>
      <c r="AI12" s="236">
        <f t="shared" si="0"/>
        <v>-1.7886770168064885</v>
      </c>
      <c r="AJ12" s="236">
        <f t="shared" si="0"/>
        <v>-5.5572733306518529</v>
      </c>
      <c r="AK12" s="236">
        <f t="shared" si="0"/>
        <v>3.2254057080763943</v>
      </c>
      <c r="AL12" s="236">
        <f t="shared" si="0"/>
        <v>5.8307679638588894</v>
      </c>
      <c r="AM12" s="236">
        <f t="shared" si="0"/>
        <v>5.8547048929525687</v>
      </c>
      <c r="AN12" s="236">
        <f t="shared" si="0"/>
        <v>1.304756367112887</v>
      </c>
      <c r="AO12" s="236">
        <f t="shared" si="0"/>
        <v>-2.1819268920561683</v>
      </c>
      <c r="AP12" s="236">
        <f t="shared" si="0"/>
        <v>1.3410951264896482</v>
      </c>
      <c r="AQ12" s="236">
        <f t="shared" si="0"/>
        <v>-5.8124315527291657</v>
      </c>
      <c r="AR12" s="236">
        <f t="shared" si="0"/>
        <v>-0.65536911005166587</v>
      </c>
      <c r="AS12" s="236">
        <f t="shared" si="0"/>
        <v>-2.1604984596058898</v>
      </c>
      <c r="AT12" s="236">
        <f t="shared" si="0"/>
        <v>3.2468964783223413</v>
      </c>
      <c r="AU12" s="236">
        <f t="shared" si="0"/>
        <v>4.2006436102299318</v>
      </c>
      <c r="AV12" s="236">
        <f t="shared" si="0"/>
        <v>2.6345506224200363</v>
      </c>
      <c r="AW12" s="236">
        <f t="shared" si="0"/>
        <v>0.62291385745143657</v>
      </c>
      <c r="AX12" s="236">
        <f t="shared" si="0"/>
        <v>1.8444120353570383</v>
      </c>
      <c r="AY12" s="236">
        <f t="shared" si="0"/>
        <v>-1.4309427883244865</v>
      </c>
      <c r="AZ12" s="236">
        <f t="shared" si="0"/>
        <v>-1.2003912684381959</v>
      </c>
      <c r="BA12" s="236">
        <f t="shared" si="0"/>
        <v>2.8098618254489338</v>
      </c>
      <c r="BB12" s="236">
        <f t="shared" si="0"/>
        <v>-0.10498505173586636</v>
      </c>
      <c r="BC12" s="236">
        <f t="shared" si="0"/>
        <v>1.2747267012219794</v>
      </c>
      <c r="BD12" s="236">
        <f t="shared" si="0"/>
        <v>-0.16168611734565275</v>
      </c>
      <c r="BE12" s="236">
        <f t="shared" si="0"/>
        <v>4.4043878028769115</v>
      </c>
      <c r="BF12" s="236">
        <f t="shared" si="0"/>
        <v>1.9438181461790123</v>
      </c>
      <c r="BG12" s="236">
        <f t="shared" si="0"/>
        <v>2.790513062395533</v>
      </c>
      <c r="BH12" s="236">
        <f t="shared" si="0"/>
        <v>4.955358564729039</v>
      </c>
      <c r="BI12" s="236">
        <f t="shared" si="0"/>
        <v>4.0971369338042081</v>
      </c>
      <c r="BJ12" s="236">
        <f t="shared" si="0"/>
        <v>-1.300024036421604</v>
      </c>
      <c r="BK12" s="236">
        <f t="shared" si="0"/>
        <v>6.5369895830676512</v>
      </c>
      <c r="BL12" s="236">
        <f t="shared" si="0"/>
        <v>1.8170742709838805</v>
      </c>
      <c r="BM12" s="236">
        <f t="shared" si="0"/>
        <v>0.15621220955073056</v>
      </c>
      <c r="BN12" s="236">
        <f t="shared" si="0"/>
        <v>1.6321022539157042</v>
      </c>
      <c r="BO12" s="236">
        <f t="shared" si="0"/>
        <v>-0.6692548080101659</v>
      </c>
      <c r="BP12" s="236">
        <f t="shared" si="0"/>
        <v>-1.9753790119027315</v>
      </c>
    </row>
    <row r="13" spans="1:69">
      <c r="C13" s="263" t="s">
        <v>427</v>
      </c>
      <c r="D13" s="236">
        <f t="shared" si="1"/>
        <v>1.6692194036237709</v>
      </c>
      <c r="E13" s="236">
        <f t="shared" si="0"/>
        <v>4.342913528221743</v>
      </c>
      <c r="F13" s="236">
        <f t="shared" si="0"/>
        <v>5.6279871411975648</v>
      </c>
      <c r="G13" s="236">
        <f t="shared" si="0"/>
        <v>-4.9822674969855854</v>
      </c>
      <c r="H13" s="236">
        <f t="shared" si="0"/>
        <v>1.7438153966691488</v>
      </c>
      <c r="I13" s="236">
        <f t="shared" si="0"/>
        <v>-0.46745231336041115</v>
      </c>
      <c r="J13" s="236">
        <f t="shared" si="0"/>
        <v>7.7687339516558751</v>
      </c>
      <c r="K13" s="236">
        <f t="shared" si="0"/>
        <v>2.9867219162052407</v>
      </c>
      <c r="L13" s="236">
        <f t="shared" si="0"/>
        <v>-7.9591970766354763</v>
      </c>
      <c r="M13" s="236">
        <f t="shared" si="0"/>
        <v>5.6469329194648594</v>
      </c>
      <c r="N13" s="236">
        <f t="shared" si="0"/>
        <v>2.2487445692592587</v>
      </c>
      <c r="O13" s="236">
        <f t="shared" si="0"/>
        <v>2.266036562812431</v>
      </c>
      <c r="P13" s="236">
        <f t="shared" si="0"/>
        <v>3.8975931653294538</v>
      </c>
      <c r="Q13" s="236">
        <f t="shared" si="0"/>
        <v>-2.1462855823500604E-2</v>
      </c>
      <c r="R13" s="236">
        <f t="shared" si="0"/>
        <v>-1.3183704019505456</v>
      </c>
      <c r="S13" s="236">
        <f t="shared" si="0"/>
        <v>8.898899775732815</v>
      </c>
      <c r="T13" s="236">
        <f t="shared" si="0"/>
        <v>1.2308732768730124</v>
      </c>
      <c r="U13" s="236">
        <f t="shared" si="0"/>
        <v>1.6219225450602011</v>
      </c>
      <c r="V13" s="236">
        <f t="shared" si="0"/>
        <v>1.8096699039293611</v>
      </c>
      <c r="W13" s="236">
        <f t="shared" si="0"/>
        <v>0.21053912777165351</v>
      </c>
      <c r="X13" s="236">
        <f t="shared" si="0"/>
        <v>6.9938730603668091</v>
      </c>
      <c r="Y13" s="236">
        <f t="shared" si="0"/>
        <v>-3.0148184262431528</v>
      </c>
      <c r="Z13" s="236">
        <f t="shared" si="0"/>
        <v>-7.2741186724773428</v>
      </c>
      <c r="AA13" s="236">
        <f t="shared" si="0"/>
        <v>-0.8283126810434851</v>
      </c>
      <c r="AB13" s="236">
        <f t="shared" si="0"/>
        <v>-14.396937072918334</v>
      </c>
      <c r="AC13" s="236">
        <f t="shared" si="0"/>
        <v>1.725435458332413</v>
      </c>
      <c r="AD13" s="236">
        <f t="shared" si="0"/>
        <v>8.1218502704834492</v>
      </c>
      <c r="AE13" s="236">
        <f t="shared" si="0"/>
        <v>6.6078855296275663</v>
      </c>
      <c r="AF13" s="236">
        <f t="shared" si="0"/>
        <v>6.6657942116935089</v>
      </c>
      <c r="AG13" s="236">
        <f t="shared" si="0"/>
        <v>6.2820422841008963</v>
      </c>
      <c r="AH13" s="236">
        <f t="shared" si="0"/>
        <v>4.4368423593124078</v>
      </c>
      <c r="AI13" s="236">
        <f t="shared" si="0"/>
        <v>-15.128629134673048</v>
      </c>
      <c r="AJ13" s="236">
        <f t="shared" si="0"/>
        <v>-4.4631893661296118</v>
      </c>
      <c r="AK13" s="236">
        <f t="shared" si="0"/>
        <v>4.1715170358077529</v>
      </c>
      <c r="AL13" s="236">
        <f t="shared" si="0"/>
        <v>0.37250371221833234</v>
      </c>
      <c r="AM13" s="236">
        <f t="shared" si="0"/>
        <v>3.9340402972829196</v>
      </c>
      <c r="AN13" s="236">
        <f t="shared" si="0"/>
        <v>4.8365156155644371</v>
      </c>
      <c r="AO13" s="236">
        <f t="shared" si="0"/>
        <v>5.4770120100272379</v>
      </c>
      <c r="AP13" s="236">
        <f t="shared" si="0"/>
        <v>8.693174781582627</v>
      </c>
      <c r="AQ13" s="236">
        <f t="shared" si="0"/>
        <v>1.8788607301410565</v>
      </c>
      <c r="AR13" s="236">
        <f t="shared" si="0"/>
        <v>5.9919561019408292</v>
      </c>
      <c r="AS13" s="236">
        <f t="shared" si="0"/>
        <v>10.292931383447751</v>
      </c>
      <c r="AT13" s="236">
        <f t="shared" si="0"/>
        <v>5.1675371103707732</v>
      </c>
      <c r="AU13" s="236">
        <f t="shared" si="0"/>
        <v>3.9671505195950658</v>
      </c>
      <c r="AV13" s="236">
        <f t="shared" si="0"/>
        <v>8.9072706809852491</v>
      </c>
      <c r="AW13" s="236">
        <f t="shared" si="0"/>
        <v>5.8393065325196005</v>
      </c>
      <c r="AX13" s="236">
        <f t="shared" si="0"/>
        <v>5.6070787337987156</v>
      </c>
      <c r="AY13" s="236">
        <f t="shared" si="0"/>
        <v>2.6671122646877023</v>
      </c>
      <c r="AZ13" s="236">
        <f t="shared" si="0"/>
        <v>-1.8493148964104194</v>
      </c>
      <c r="BA13" s="236">
        <f t="shared" si="0"/>
        <v>3.8449157485204353</v>
      </c>
      <c r="BB13" s="236">
        <f t="shared" si="0"/>
        <v>2.1027548202068829</v>
      </c>
      <c r="BC13" s="236">
        <f t="shared" si="0"/>
        <v>1.5842974588767191</v>
      </c>
      <c r="BD13" s="236">
        <f t="shared" si="0"/>
        <v>2.71079181565743</v>
      </c>
      <c r="BE13" s="236">
        <f t="shared" si="0"/>
        <v>5.9782324588692433</v>
      </c>
      <c r="BF13" s="236">
        <f t="shared" si="0"/>
        <v>5.1768718557097202</v>
      </c>
      <c r="BG13" s="236">
        <f t="shared" si="0"/>
        <v>4.7033620528613227</v>
      </c>
      <c r="BH13" s="236">
        <f t="shared" si="0"/>
        <v>4.1749203405439346</v>
      </c>
      <c r="BI13" s="236">
        <f t="shared" si="0"/>
        <v>2.2998671633189076</v>
      </c>
      <c r="BJ13" s="236">
        <f t="shared" si="0"/>
        <v>-1.9956752822747603</v>
      </c>
      <c r="BK13" s="236">
        <f t="shared" si="0"/>
        <v>4.7662328961009592</v>
      </c>
      <c r="BL13" s="236">
        <f t="shared" si="0"/>
        <v>4.8683592739822643</v>
      </c>
      <c r="BM13" s="236">
        <f t="shared" si="0"/>
        <v>4.4410835341398354</v>
      </c>
      <c r="BN13" s="236">
        <f t="shared" si="0"/>
        <v>3.1705429164666725</v>
      </c>
      <c r="BO13" s="236">
        <f t="shared" si="0"/>
        <v>1.0317288941604943</v>
      </c>
      <c r="BP13" s="236">
        <f t="shared" si="0"/>
        <v>2.0515283985958632</v>
      </c>
    </row>
    <row r="14" spans="1:69">
      <c r="C14" s="263" t="s">
        <v>428</v>
      </c>
      <c r="D14" s="236">
        <f t="shared" si="1"/>
        <v>-0.12712604108206449</v>
      </c>
      <c r="E14" s="236">
        <f t="shared" si="0"/>
        <v>2.9920491245662078</v>
      </c>
      <c r="F14" s="236">
        <f t="shared" si="0"/>
        <v>2.8079555492837471</v>
      </c>
      <c r="G14" s="236">
        <f t="shared" si="0"/>
        <v>3.5947448353337563</v>
      </c>
      <c r="H14" s="236">
        <f t="shared" si="0"/>
        <v>0.60644010959407524</v>
      </c>
      <c r="I14" s="236">
        <f t="shared" si="0"/>
        <v>0.75345925295435734</v>
      </c>
      <c r="J14" s="236">
        <f t="shared" si="0"/>
        <v>0.39058791379684976</v>
      </c>
      <c r="K14" s="236">
        <f t="shared" si="0"/>
        <v>-0.7255514164618404</v>
      </c>
      <c r="L14" s="236">
        <f t="shared" si="0"/>
        <v>3.8155584988194562</v>
      </c>
      <c r="M14" s="236">
        <f t="shared" si="0"/>
        <v>0.9438567703279972</v>
      </c>
      <c r="N14" s="236">
        <f t="shared" si="0"/>
        <v>1.7238995506260579</v>
      </c>
      <c r="O14" s="236">
        <f t="shared" si="0"/>
        <v>2.1233021250374691</v>
      </c>
      <c r="P14" s="236">
        <f t="shared" si="0"/>
        <v>0.13269075435414379</v>
      </c>
      <c r="Q14" s="236">
        <f t="shared" si="0"/>
        <v>2.9907136097858853</v>
      </c>
      <c r="R14" s="236">
        <f t="shared" si="0"/>
        <v>0.51985316611001053</v>
      </c>
      <c r="S14" s="236">
        <f t="shared" si="0"/>
        <v>2.2781683028390489</v>
      </c>
      <c r="T14" s="236">
        <f t="shared" si="0"/>
        <v>1.2430972306523955</v>
      </c>
      <c r="U14" s="236">
        <f t="shared" si="0"/>
        <v>3.2120480428599905</v>
      </c>
      <c r="V14" s="236">
        <f t="shared" si="0"/>
        <v>3.5762642051990099</v>
      </c>
      <c r="W14" s="236">
        <f t="shared" si="0"/>
        <v>3.9565264855501141</v>
      </c>
      <c r="X14" s="236">
        <f t="shared" si="0"/>
        <v>3.2332212713836981</v>
      </c>
      <c r="Y14" s="236">
        <f t="shared" si="0"/>
        <v>5.0399569970542473</v>
      </c>
      <c r="Z14" s="236">
        <f t="shared" si="0"/>
        <v>4.2956925296590498</v>
      </c>
      <c r="AA14" s="236">
        <f t="shared" si="0"/>
        <v>3.3805906839127715</v>
      </c>
      <c r="AB14" s="236">
        <f t="shared" si="0"/>
        <v>8.0758174869387744E-2</v>
      </c>
      <c r="AC14" s="236">
        <f t="shared" si="0"/>
        <v>2.5599998196329068</v>
      </c>
      <c r="AD14" s="236">
        <f t="shared" si="0"/>
        <v>2.1537687846146127</v>
      </c>
      <c r="AE14" s="236">
        <f t="shared" si="0"/>
        <v>6.548905170684165</v>
      </c>
      <c r="AF14" s="236">
        <f t="shared" si="0"/>
        <v>3.3511685972058274</v>
      </c>
      <c r="AG14" s="236">
        <f t="shared" si="0"/>
        <v>1.9183457030849951</v>
      </c>
      <c r="AH14" s="236">
        <f t="shared" si="0"/>
        <v>-6.2348585652941324E-2</v>
      </c>
      <c r="AI14" s="236">
        <f t="shared" si="0"/>
        <v>-1.2252551643255742</v>
      </c>
      <c r="AJ14" s="236">
        <f t="shared" si="0"/>
        <v>-0.64839138678057395</v>
      </c>
      <c r="AK14" s="236">
        <f t="shared" si="0"/>
        <v>1.279759399953079</v>
      </c>
      <c r="AL14" s="236">
        <f t="shared" si="0"/>
        <v>1.0190588330594608</v>
      </c>
      <c r="AM14" s="236">
        <f t="shared" si="0"/>
        <v>3.8370353588652222</v>
      </c>
      <c r="AN14" s="236">
        <f t="shared" si="0"/>
        <v>3.1914108658212399</v>
      </c>
      <c r="AO14" s="236">
        <f t="shared" si="0"/>
        <v>2.0153758193085309</v>
      </c>
      <c r="AP14" s="236">
        <f t="shared" si="0"/>
        <v>1.2127811513838793</v>
      </c>
      <c r="AQ14" s="236">
        <f t="shared" si="0"/>
        <v>2.1084233575297588</v>
      </c>
      <c r="AR14" s="236">
        <f t="shared" si="0"/>
        <v>0.29931167912502588</v>
      </c>
      <c r="AS14" s="236">
        <f t="shared" si="0"/>
        <v>2.2731293118165752</v>
      </c>
      <c r="AT14" s="236">
        <f t="shared" si="0"/>
        <v>3.6525061029469441</v>
      </c>
      <c r="AU14" s="236">
        <f t="shared" si="0"/>
        <v>3.1491036076574943</v>
      </c>
      <c r="AV14" s="236">
        <f t="shared" si="0"/>
        <v>3.3472642899463807</v>
      </c>
      <c r="AW14" s="236">
        <f t="shared" si="0"/>
        <v>0.49859261801114485</v>
      </c>
      <c r="AX14" s="236">
        <f t="shared" si="0"/>
        <v>1.9950380916350099</v>
      </c>
      <c r="AY14" s="236">
        <f t="shared" si="0"/>
        <v>-0.78225880369302558</v>
      </c>
      <c r="AZ14" s="236">
        <f t="shared" si="0"/>
        <v>-5.2753176075143244</v>
      </c>
      <c r="BA14" s="236">
        <f t="shared" si="0"/>
        <v>2.0083357773627313</v>
      </c>
      <c r="BB14" s="236">
        <f t="shared" si="0"/>
        <v>0.63789470525408376</v>
      </c>
      <c r="BC14" s="236">
        <f t="shared" si="0"/>
        <v>1.2357183738858311</v>
      </c>
      <c r="BD14" s="236">
        <f t="shared" si="0"/>
        <v>2.5119544273993739</v>
      </c>
      <c r="BE14" s="236">
        <f t="shared" si="0"/>
        <v>3.8629263380917394</v>
      </c>
      <c r="BF14" s="236">
        <f t="shared" si="0"/>
        <v>3.2790331003200777</v>
      </c>
      <c r="BG14" s="236">
        <f t="shared" si="0"/>
        <v>5.2803340912596042</v>
      </c>
      <c r="BH14" s="236">
        <f t="shared" si="0"/>
        <v>5.5176706524307377</v>
      </c>
      <c r="BI14" s="236">
        <f t="shared" si="0"/>
        <v>2.2416110407357621</v>
      </c>
      <c r="BJ14" s="236">
        <f t="shared" si="0"/>
        <v>0.40348961494174773</v>
      </c>
      <c r="BK14" s="236">
        <f t="shared" si="0"/>
        <v>2.7301191486431549</v>
      </c>
      <c r="BL14" s="236">
        <f t="shared" si="0"/>
        <v>5.3496563981951368</v>
      </c>
      <c r="BM14" s="236">
        <f t="shared" si="0"/>
        <v>2.8679027190853503</v>
      </c>
      <c r="BN14" s="236">
        <f t="shared" si="0"/>
        <v>3.5185653327315833</v>
      </c>
      <c r="BO14" s="236">
        <f t="shared" si="0"/>
        <v>3.4231874966980058</v>
      </c>
      <c r="BP14" s="236">
        <f>BQ5/BP5*100-100</f>
        <v>2.1148645750297419</v>
      </c>
    </row>
    <row r="15" spans="1:69">
      <c r="C15" s="263" t="s">
        <v>431</v>
      </c>
      <c r="D15" s="236">
        <f t="shared" si="1"/>
        <v>-1.4932049743374307</v>
      </c>
      <c r="E15" s="236">
        <f t="shared" si="1"/>
        <v>9.4685695354382204</v>
      </c>
      <c r="F15" s="236">
        <f t="shared" si="1"/>
        <v>-0.52625534351159331</v>
      </c>
      <c r="G15" s="236">
        <f t="shared" si="1"/>
        <v>5.2559154237211914</v>
      </c>
      <c r="H15" s="236">
        <f t="shared" si="1"/>
        <v>-9.7015484422740883E-2</v>
      </c>
      <c r="I15" s="236">
        <f t="shared" si="1"/>
        <v>0.91438907712766593</v>
      </c>
      <c r="J15" s="236">
        <f t="shared" si="1"/>
        <v>1.6869121982243627</v>
      </c>
      <c r="K15" s="236">
        <f t="shared" si="1"/>
        <v>0.11176136176038654</v>
      </c>
      <c r="L15" s="236">
        <f t="shared" si="1"/>
        <v>2.4414817994480558</v>
      </c>
      <c r="M15" s="236">
        <f t="shared" si="1"/>
        <v>3.4878018806637101</v>
      </c>
      <c r="N15" s="236">
        <f t="shared" si="1"/>
        <v>-0.42347920452519361</v>
      </c>
      <c r="O15" s="236">
        <f t="shared" si="1"/>
        <v>2.2701330826588446</v>
      </c>
      <c r="P15" s="236">
        <f t="shared" si="1"/>
        <v>-0.44143805780248613</v>
      </c>
      <c r="Q15" s="236">
        <f t="shared" si="1"/>
        <v>3.9090349218385541</v>
      </c>
      <c r="R15" s="236">
        <f t="shared" si="1"/>
        <v>6.4201880115341226</v>
      </c>
      <c r="S15" s="236">
        <f t="shared" si="1"/>
        <v>-0.39423787747888639</v>
      </c>
      <c r="T15" s="236">
        <f t="shared" ref="T15:BP18" si="2">U6/T6*100-100</f>
        <v>2.1943261554144158</v>
      </c>
      <c r="U15" s="236">
        <f t="shared" si="2"/>
        <v>2.4310953077701072</v>
      </c>
      <c r="V15" s="236">
        <f t="shared" si="2"/>
        <v>2.3783334826501914</v>
      </c>
      <c r="W15" s="236">
        <f t="shared" si="2"/>
        <v>3.8872616699944871</v>
      </c>
      <c r="X15" s="236">
        <f t="shared" si="2"/>
        <v>2.6883321161009377</v>
      </c>
      <c r="Y15" s="236">
        <f t="shared" si="2"/>
        <v>3.0895819668704405</v>
      </c>
      <c r="Z15" s="236">
        <f t="shared" si="2"/>
        <v>9.2337732115315418</v>
      </c>
      <c r="AA15" s="236">
        <f t="shared" si="2"/>
        <v>2.8210824127851311</v>
      </c>
      <c r="AB15" s="236">
        <f t="shared" si="2"/>
        <v>2.257925799693723</v>
      </c>
      <c r="AC15" s="236">
        <f t="shared" si="2"/>
        <v>6.5707988647380375</v>
      </c>
      <c r="AD15" s="236">
        <f t="shared" si="2"/>
        <v>3.3384464688217577</v>
      </c>
      <c r="AE15" s="236">
        <f t="shared" si="2"/>
        <v>3.9630528542393222</v>
      </c>
      <c r="AF15" s="236">
        <f t="shared" si="2"/>
        <v>2.4967685548383969</v>
      </c>
      <c r="AG15" s="236">
        <f t="shared" si="2"/>
        <v>1.7147380463032391</v>
      </c>
      <c r="AH15" s="236">
        <f t="shared" si="2"/>
        <v>1.261767794964058</v>
      </c>
      <c r="AI15" s="236">
        <f t="shared" si="2"/>
        <v>-1.6004718047041138</v>
      </c>
      <c r="AJ15" s="236">
        <f t="shared" si="2"/>
        <v>-4.6825344193181593</v>
      </c>
      <c r="AK15" s="236">
        <f t="shared" si="2"/>
        <v>1.3515884637496072</v>
      </c>
      <c r="AL15" s="236">
        <f t="shared" si="2"/>
        <v>1.5314409140279679</v>
      </c>
      <c r="AM15" s="236">
        <f t="shared" si="2"/>
        <v>0.29779477844957114</v>
      </c>
      <c r="AN15" s="236">
        <f t="shared" si="2"/>
        <v>-8.6653574973393717</v>
      </c>
      <c r="AO15" s="236">
        <f t="shared" si="2"/>
        <v>7.8754961864078439</v>
      </c>
      <c r="AP15" s="236">
        <f t="shared" si="2"/>
        <v>-2.3716037057722446</v>
      </c>
      <c r="AQ15" s="236">
        <f t="shared" si="2"/>
        <v>0.23268195401323055</v>
      </c>
      <c r="AR15" s="236">
        <f t="shared" si="2"/>
        <v>3.1725471202959312</v>
      </c>
      <c r="AS15" s="236">
        <f t="shared" si="2"/>
        <v>0.91567910704203825</v>
      </c>
      <c r="AT15" s="236">
        <f t="shared" si="2"/>
        <v>7.786735732359773E-2</v>
      </c>
      <c r="AU15" s="236">
        <f t="shared" si="2"/>
        <v>1.8074527862935668</v>
      </c>
      <c r="AV15" s="236">
        <f t="shared" si="2"/>
        <v>-4.4328264670099315E-2</v>
      </c>
      <c r="AW15" s="236">
        <f t="shared" si="2"/>
        <v>-0.57066906644412541</v>
      </c>
      <c r="AX15" s="236">
        <f t="shared" si="2"/>
        <v>1.9746454328260654</v>
      </c>
      <c r="AY15" s="236">
        <f t="shared" si="2"/>
        <v>1.0543067663754186</v>
      </c>
      <c r="AZ15" s="236">
        <f t="shared" si="2"/>
        <v>-6.4296445121589301</v>
      </c>
      <c r="BA15" s="236">
        <f t="shared" si="2"/>
        <v>-0.35018461929010414</v>
      </c>
      <c r="BB15" s="236">
        <f t="shared" si="2"/>
        <v>2.5061118048229787</v>
      </c>
      <c r="BC15" s="236">
        <f t="shared" si="2"/>
        <v>2.4886393870072112</v>
      </c>
      <c r="BD15" s="236">
        <f t="shared" si="2"/>
        <v>0.78298650476807552</v>
      </c>
      <c r="BE15" s="236">
        <f t="shared" si="2"/>
        <v>5.829469893707099</v>
      </c>
      <c r="BF15" s="236">
        <f t="shared" si="2"/>
        <v>3.0261566780883697</v>
      </c>
      <c r="BG15" s="236">
        <f t="shared" si="2"/>
        <v>2.492515368760678</v>
      </c>
      <c r="BH15" s="236">
        <f t="shared" si="2"/>
        <v>0.61474157651331041</v>
      </c>
      <c r="BI15" s="236">
        <f t="shared" si="2"/>
        <v>4.7306843127361589</v>
      </c>
      <c r="BJ15" s="236">
        <f t="shared" si="2"/>
        <v>-0.9422506577316625</v>
      </c>
      <c r="BK15" s="236">
        <f t="shared" si="2"/>
        <v>2.002881393221486</v>
      </c>
      <c r="BL15" s="236">
        <f t="shared" si="2"/>
        <v>6.3103167578241397</v>
      </c>
      <c r="BM15" s="236">
        <f t="shared" si="2"/>
        <v>3.7251058557889394</v>
      </c>
      <c r="BN15" s="236">
        <f t="shared" si="2"/>
        <v>3.1793215984033338</v>
      </c>
      <c r="BO15" s="236">
        <f t="shared" si="2"/>
        <v>2.3765663444242904</v>
      </c>
      <c r="BP15" s="236">
        <f t="shared" si="2"/>
        <v>0.51314560770589424</v>
      </c>
    </row>
    <row r="16" spans="1:69">
      <c r="C16" s="263" t="s">
        <v>434</v>
      </c>
      <c r="D16" s="236">
        <f t="shared" si="1"/>
        <v>4.7510776335011116</v>
      </c>
      <c r="E16" s="236">
        <f t="shared" si="1"/>
        <v>1.073897152132659</v>
      </c>
      <c r="F16" s="236">
        <f t="shared" si="1"/>
        <v>-2.591881125480171</v>
      </c>
      <c r="G16" s="236">
        <f t="shared" si="1"/>
        <v>6.8080296449419535</v>
      </c>
      <c r="H16" s="236">
        <f t="shared" si="1"/>
        <v>5.2687732400549976</v>
      </c>
      <c r="I16" s="236">
        <f t="shared" si="1"/>
        <v>3.6617048346467129</v>
      </c>
      <c r="J16" s="236">
        <f t="shared" si="1"/>
        <v>4.2887506508992885</v>
      </c>
      <c r="K16" s="236">
        <f t="shared" si="1"/>
        <v>2.0358986043525817</v>
      </c>
      <c r="L16" s="236">
        <f t="shared" si="1"/>
        <v>-0.28631498464226013</v>
      </c>
      <c r="M16" s="236">
        <f t="shared" si="1"/>
        <v>4.6002839046283697</v>
      </c>
      <c r="N16" s="236">
        <f t="shared" si="1"/>
        <v>0.53593396888389577</v>
      </c>
      <c r="O16" s="236">
        <f t="shared" si="1"/>
        <v>1.224319602787233</v>
      </c>
      <c r="P16" s="236">
        <f t="shared" si="1"/>
        <v>4.0987584720158878</v>
      </c>
      <c r="Q16" s="236">
        <f t="shared" si="1"/>
        <v>7.5129869016890893</v>
      </c>
      <c r="R16" s="236">
        <f t="shared" si="1"/>
        <v>3.013343377179666</v>
      </c>
      <c r="S16" s="236">
        <f t="shared" si="1"/>
        <v>2.9864682288705211</v>
      </c>
      <c r="T16" s="236">
        <f t="shared" si="2"/>
        <v>2.8818640636500277</v>
      </c>
      <c r="U16" s="236">
        <f t="shared" si="2"/>
        <v>3.8285096889932362</v>
      </c>
      <c r="V16" s="236">
        <f t="shared" si="2"/>
        <v>2.7724565474307497</v>
      </c>
      <c r="W16" s="236">
        <f t="shared" si="2"/>
        <v>3.2053979648279096</v>
      </c>
      <c r="X16" s="236">
        <f t="shared" si="2"/>
        <v>1.0473419479443749</v>
      </c>
      <c r="Y16" s="236">
        <f t="shared" si="2"/>
        <v>5.4307488020875638</v>
      </c>
      <c r="Z16" s="236">
        <f t="shared" si="2"/>
        <v>5.4467667812033511</v>
      </c>
      <c r="AA16" s="236">
        <f t="shared" si="2"/>
        <v>3.3011961080623422</v>
      </c>
      <c r="AB16" s="236">
        <f t="shared" si="2"/>
        <v>2.9037076423635568</v>
      </c>
      <c r="AC16" s="236">
        <f t="shared" si="2"/>
        <v>1.6560923333548629</v>
      </c>
      <c r="AD16" s="236">
        <f t="shared" si="2"/>
        <v>0.94410255438101842</v>
      </c>
      <c r="AE16" s="236">
        <f t="shared" si="2"/>
        <v>5.7027699228518998</v>
      </c>
      <c r="AF16" s="236">
        <f t="shared" si="2"/>
        <v>6.6563444097430278</v>
      </c>
      <c r="AG16" s="236">
        <f t="shared" si="2"/>
        <v>5.9123850477727871</v>
      </c>
      <c r="AH16" s="236">
        <f t="shared" si="2"/>
        <v>6.2724098731161888</v>
      </c>
      <c r="AI16" s="236">
        <f t="shared" si="2"/>
        <v>-3.0239261771292689</v>
      </c>
      <c r="AJ16" s="236">
        <f t="shared" si="2"/>
        <v>-6.5423183570022871</v>
      </c>
      <c r="AK16" s="236">
        <f t="shared" si="2"/>
        <v>1.2300617483789154</v>
      </c>
      <c r="AL16" s="236">
        <f t="shared" si="2"/>
        <v>0.5137459623993692</v>
      </c>
      <c r="AM16" s="236">
        <f t="shared" si="2"/>
        <v>-5.8093212229373421</v>
      </c>
      <c r="AN16" s="236">
        <f t="shared" si="2"/>
        <v>-0.28001508437118616</v>
      </c>
      <c r="AO16" s="236">
        <f t="shared" si="2"/>
        <v>-0.80891878659623728</v>
      </c>
      <c r="AP16" s="236">
        <f t="shared" si="2"/>
        <v>2.2172192022576098</v>
      </c>
      <c r="AQ16" s="236">
        <f t="shared" si="2"/>
        <v>3.1544944215006865</v>
      </c>
      <c r="AR16" s="236">
        <f t="shared" si="2"/>
        <v>2.3384413780369186</v>
      </c>
      <c r="AS16" s="236">
        <f t="shared" si="2"/>
        <v>1.7259582108661817</v>
      </c>
      <c r="AT16" s="236">
        <f t="shared" si="2"/>
        <v>9.1095076704277744E-2</v>
      </c>
      <c r="AU16" s="236">
        <f t="shared" si="2"/>
        <v>2.590164523087509</v>
      </c>
      <c r="AV16" s="236">
        <f t="shared" si="2"/>
        <v>-7.7452284101402284</v>
      </c>
      <c r="AW16" s="236">
        <f t="shared" si="2"/>
        <v>3.4309316265924963</v>
      </c>
      <c r="AX16" s="236">
        <f t="shared" si="2"/>
        <v>5.0604537315107194</v>
      </c>
      <c r="AY16" s="236">
        <f t="shared" si="2"/>
        <v>3.4368403800679772</v>
      </c>
      <c r="AZ16" s="236">
        <f t="shared" si="2"/>
        <v>2.3488263556431122</v>
      </c>
      <c r="BA16" s="236">
        <f t="shared" si="2"/>
        <v>5.1952430124456299</v>
      </c>
      <c r="BB16" s="236">
        <f t="shared" si="2"/>
        <v>-1.3674133307276861</v>
      </c>
      <c r="BC16" s="236">
        <f t="shared" si="2"/>
        <v>-0.55076184540207862</v>
      </c>
      <c r="BD16" s="236">
        <f t="shared" si="2"/>
        <v>5.0156028324337854E-2</v>
      </c>
      <c r="BE16" s="236">
        <f t="shared" si="2"/>
        <v>2.8359276065517349</v>
      </c>
      <c r="BF16" s="236">
        <f t="shared" si="2"/>
        <v>1.7739557771621435</v>
      </c>
      <c r="BG16" s="236">
        <f t="shared" si="2"/>
        <v>3.6728068979643638</v>
      </c>
      <c r="BH16" s="236">
        <f t="shared" si="2"/>
        <v>1.8819454738874413</v>
      </c>
      <c r="BI16" s="236">
        <f t="shared" si="2"/>
        <v>2.0016636853341652E-3</v>
      </c>
      <c r="BJ16" s="236">
        <f t="shared" si="2"/>
        <v>-6.0832026488746038</v>
      </c>
      <c r="BK16" s="236">
        <f t="shared" si="2"/>
        <v>3.6911096156726444</v>
      </c>
      <c r="BL16" s="236">
        <f t="shared" si="2"/>
        <v>2.368266838848939</v>
      </c>
      <c r="BM16" s="236">
        <f t="shared" si="2"/>
        <v>2.5208759206324203</v>
      </c>
      <c r="BN16" s="236">
        <f t="shared" si="2"/>
        <v>-0.22175000982468873</v>
      </c>
      <c r="BO16" s="236">
        <f t="shared" si="2"/>
        <v>0.87806195776529705</v>
      </c>
      <c r="BP16" s="236">
        <f t="shared" si="2"/>
        <v>1.7730427368110213</v>
      </c>
    </row>
    <row r="17" spans="3:68">
      <c r="C17" s="263" t="s">
        <v>435</v>
      </c>
      <c r="D17" s="236">
        <f>E8/D8*100-100</f>
        <v>5.1163472444651035</v>
      </c>
      <c r="E17" s="236">
        <f t="shared" si="1"/>
        <v>2.5430195772104156</v>
      </c>
      <c r="F17" s="236">
        <f t="shared" si="1"/>
        <v>3.6657030895696892</v>
      </c>
      <c r="G17" s="236">
        <f t="shared" si="1"/>
        <v>0.16466778638964286</v>
      </c>
      <c r="H17" s="236">
        <f t="shared" si="1"/>
        <v>4.6531519909557062</v>
      </c>
      <c r="I17" s="236">
        <f t="shared" si="1"/>
        <v>1.7869701199818167</v>
      </c>
      <c r="J17" s="236">
        <f t="shared" si="1"/>
        <v>2.1157051215539866</v>
      </c>
      <c r="K17" s="236">
        <f t="shared" si="1"/>
        <v>-2.3676519704640242</v>
      </c>
      <c r="L17" s="236">
        <f t="shared" si="1"/>
        <v>-2.2052354560449459</v>
      </c>
      <c r="M17" s="236">
        <f t="shared" si="1"/>
        <v>10.683774709719088</v>
      </c>
      <c r="N17" s="236">
        <f t="shared" si="1"/>
        <v>5.8291111551058918</v>
      </c>
      <c r="O17" s="236">
        <f t="shared" si="1"/>
        <v>4.4046498137585246</v>
      </c>
      <c r="P17" s="236">
        <f t="shared" si="1"/>
        <v>1.6424844995891732</v>
      </c>
      <c r="Q17" s="236">
        <f t="shared" si="1"/>
        <v>3.9202143227145001</v>
      </c>
      <c r="R17" s="236">
        <f t="shared" si="1"/>
        <v>3.7169841155283478</v>
      </c>
      <c r="S17" s="236">
        <f t="shared" si="1"/>
        <v>5.4090966450032028</v>
      </c>
      <c r="T17" s="236">
        <f t="shared" si="2"/>
        <v>1.1136997343750039</v>
      </c>
      <c r="U17" s="236">
        <f t="shared" si="2"/>
        <v>-3.7872887225723417</v>
      </c>
      <c r="V17" s="236">
        <f t="shared" si="2"/>
        <v>-0.24394742611055165</v>
      </c>
      <c r="W17" s="236">
        <f t="shared" si="2"/>
        <v>4.8344547073798196</v>
      </c>
      <c r="X17" s="236">
        <f t="shared" si="2"/>
        <v>1.59811626317547</v>
      </c>
      <c r="Y17" s="236">
        <f t="shared" si="2"/>
        <v>0.35306251525439336</v>
      </c>
      <c r="Z17" s="236">
        <f t="shared" si="2"/>
        <v>2.3716895832972114</v>
      </c>
      <c r="AA17" s="236">
        <f t="shared" si="2"/>
        <v>2.3986745004067984</v>
      </c>
      <c r="AB17" s="236">
        <f t="shared" si="2"/>
        <v>5.0163280781301012</v>
      </c>
      <c r="AC17" s="236">
        <f t="shared" si="2"/>
        <v>-1.27996363459728</v>
      </c>
      <c r="AD17" s="236">
        <f t="shared" si="2"/>
        <v>-2.661421142087022</v>
      </c>
      <c r="AE17" s="236">
        <f t="shared" si="2"/>
        <v>-2.5951844352178455</v>
      </c>
      <c r="AF17" s="236">
        <f t="shared" si="2"/>
        <v>3.2533584267093971</v>
      </c>
      <c r="AG17" s="236">
        <f t="shared" si="2"/>
        <v>1.9622410165058852</v>
      </c>
      <c r="AH17" s="236">
        <f t="shared" si="2"/>
        <v>1.8659086273382854</v>
      </c>
      <c r="AI17" s="236">
        <f t="shared" si="2"/>
        <v>-2.1935148886388447</v>
      </c>
      <c r="AJ17" s="236">
        <f t="shared" si="2"/>
        <v>-15.375582387131104</v>
      </c>
      <c r="AK17" s="236">
        <f t="shared" si="2"/>
        <v>2.2691822370540962</v>
      </c>
      <c r="AL17" s="236">
        <f t="shared" si="2"/>
        <v>-0.26104625905026069</v>
      </c>
      <c r="AM17" s="236">
        <f t="shared" si="2"/>
        <v>7.6360397791129344</v>
      </c>
      <c r="AN17" s="236">
        <f t="shared" si="2"/>
        <v>6.2392290090164551</v>
      </c>
      <c r="AO17" s="236">
        <f t="shared" si="2"/>
        <v>-10.15616666242029</v>
      </c>
      <c r="AP17" s="236">
        <f t="shared" si="2"/>
        <v>-14.056538134516131</v>
      </c>
      <c r="AQ17" s="236">
        <f t="shared" si="2"/>
        <v>-7.06587339647362</v>
      </c>
      <c r="AR17" s="236">
        <f t="shared" si="2"/>
        <v>0.6629070105420567</v>
      </c>
      <c r="AS17" s="236">
        <f t="shared" si="2"/>
        <v>-2.4932801290040345</v>
      </c>
      <c r="AT17" s="236">
        <f t="shared" si="2"/>
        <v>2.6155525668429647</v>
      </c>
      <c r="AU17" s="236">
        <f t="shared" si="2"/>
        <v>10.603149895342796</v>
      </c>
      <c r="AV17" s="236">
        <f t="shared" si="2"/>
        <v>5.4324311457211394</v>
      </c>
      <c r="AW17" s="236">
        <f t="shared" si="2"/>
        <v>1.0080006487255275</v>
      </c>
      <c r="AX17" s="236">
        <f t="shared" si="2"/>
        <v>4.7272461552121143</v>
      </c>
      <c r="AY17" s="236">
        <f t="shared" si="2"/>
        <v>-1.9273551489406628</v>
      </c>
      <c r="AZ17" s="236">
        <f t="shared" si="2"/>
        <v>3.4950209101381802E-2</v>
      </c>
      <c r="BA17" s="236">
        <f t="shared" si="2"/>
        <v>1.292630899671579</v>
      </c>
      <c r="BB17" s="236">
        <f t="shared" si="2"/>
        <v>-0.71121025151705908</v>
      </c>
      <c r="BC17" s="236">
        <f t="shared" si="2"/>
        <v>4.1086768885421066</v>
      </c>
      <c r="BD17" s="236">
        <f t="shared" si="2"/>
        <v>2.88530848620276</v>
      </c>
      <c r="BE17" s="236">
        <f t="shared" si="2"/>
        <v>3.7189309864583748</v>
      </c>
      <c r="BF17" s="236">
        <f t="shared" si="2"/>
        <v>5.0739149509914512</v>
      </c>
      <c r="BG17" s="236">
        <f t="shared" si="2"/>
        <v>6.340201157585625</v>
      </c>
      <c r="BH17" s="236">
        <f t="shared" si="2"/>
        <v>7.355496544239216</v>
      </c>
      <c r="BI17" s="236">
        <f t="shared" si="2"/>
        <v>7.9952252575165232</v>
      </c>
      <c r="BJ17" s="236">
        <f t="shared" si="2"/>
        <v>-7.1906717675034315E-3</v>
      </c>
      <c r="BK17" s="236">
        <f t="shared" si="2"/>
        <v>7.3245836346495565</v>
      </c>
      <c r="BL17" s="236">
        <f t="shared" si="2"/>
        <v>5.3568328661346243</v>
      </c>
      <c r="BM17" s="236">
        <f t="shared" si="2"/>
        <v>4.8726317164346113</v>
      </c>
      <c r="BN17" s="236">
        <f t="shared" si="2"/>
        <v>4.695219309730021</v>
      </c>
      <c r="BO17" s="236">
        <f t="shared" si="2"/>
        <v>1.3370256023322185</v>
      </c>
      <c r="BP17" s="236">
        <f t="shared" si="2"/>
        <v>2.7958675282324918</v>
      </c>
    </row>
    <row r="18" spans="3:68">
      <c r="C18" s="263" t="s">
        <v>440</v>
      </c>
      <c r="D18" s="236">
        <f>E9/D9*100-100</f>
        <v>2.696711381629612</v>
      </c>
      <c r="E18" s="236">
        <f t="shared" si="1"/>
        <v>4.2883474326767441</v>
      </c>
      <c r="F18" s="236">
        <f t="shared" si="1"/>
        <v>-0.44237427136326346</v>
      </c>
      <c r="G18" s="236">
        <f t="shared" si="1"/>
        <v>5.7931399368278562</v>
      </c>
      <c r="H18" s="236">
        <f t="shared" si="1"/>
        <v>3.9498763234168308</v>
      </c>
      <c r="I18" s="236">
        <f t="shared" si="1"/>
        <v>4.2724703688637788</v>
      </c>
      <c r="J18" s="236">
        <f t="shared" si="1"/>
        <v>10.238044278713815</v>
      </c>
      <c r="K18" s="236">
        <f t="shared" si="1"/>
        <v>-2.401150160481194</v>
      </c>
      <c r="L18" s="236">
        <f t="shared" si="1"/>
        <v>1.8450992823022716</v>
      </c>
      <c r="M18" s="236">
        <f t="shared" si="1"/>
        <v>-3.5160537078151179</v>
      </c>
      <c r="N18" s="236">
        <f t="shared" si="1"/>
        <v>-6.6795266430053459</v>
      </c>
      <c r="O18" s="236">
        <f t="shared" si="1"/>
        <v>0.62572768238608489</v>
      </c>
      <c r="P18" s="236">
        <f t="shared" si="1"/>
        <v>0.8441739389481171</v>
      </c>
      <c r="Q18" s="236">
        <f t="shared" si="1"/>
        <v>4.6824648116464687</v>
      </c>
      <c r="R18" s="236">
        <f t="shared" si="1"/>
        <v>2.9218869769781293</v>
      </c>
      <c r="S18" s="236">
        <f t="shared" si="1"/>
        <v>-1.6688802685360713</v>
      </c>
      <c r="T18" s="236">
        <f t="shared" si="2"/>
        <v>2.524739596503963</v>
      </c>
      <c r="U18" s="236">
        <f t="shared" si="2"/>
        <v>3.3036812655351326</v>
      </c>
      <c r="V18" s="236">
        <f t="shared" si="2"/>
        <v>0.12757601997684276</v>
      </c>
      <c r="W18" s="236">
        <f t="shared" si="2"/>
        <v>3.9887218695193667</v>
      </c>
      <c r="X18" s="236">
        <f t="shared" si="2"/>
        <v>-2.1126412581548948</v>
      </c>
      <c r="Y18" s="236">
        <f t="shared" si="2"/>
        <v>-1.9235850805544459</v>
      </c>
      <c r="Z18" s="236">
        <f t="shared" si="2"/>
        <v>3.7058685096012027</v>
      </c>
      <c r="AA18" s="236">
        <f t="shared" si="2"/>
        <v>-1.1062801018761519</v>
      </c>
      <c r="AB18" s="236">
        <f t="shared" si="2"/>
        <v>-0.34120157767912929</v>
      </c>
      <c r="AC18" s="236">
        <f t="shared" si="2"/>
        <v>4.3709126035421235</v>
      </c>
      <c r="AD18" s="236">
        <f t="shared" si="2"/>
        <v>2.941876026920113</v>
      </c>
      <c r="AE18" s="236">
        <f t="shared" si="2"/>
        <v>-0.76949659962114936</v>
      </c>
      <c r="AF18" s="236">
        <f t="shared" si="2"/>
        <v>-2.1919563262454602</v>
      </c>
      <c r="AG18" s="236">
        <f t="shared" si="2"/>
        <v>-7.1464475434705861</v>
      </c>
      <c r="AH18" s="236">
        <f t="shared" si="2"/>
        <v>-2.9401004878426562</v>
      </c>
      <c r="AI18" s="236">
        <f t="shared" si="2"/>
        <v>-4.928186640092207</v>
      </c>
      <c r="AJ18" s="236">
        <f t="shared" si="2"/>
        <v>-6.5274192568091678</v>
      </c>
      <c r="AK18" s="236">
        <f t="shared" si="2"/>
        <v>-1.3994373157930369</v>
      </c>
      <c r="AL18" s="236">
        <f t="shared" si="2"/>
        <v>-1.1783475533084697</v>
      </c>
      <c r="AM18" s="236">
        <f t="shared" si="2"/>
        <v>2.3831567980497397</v>
      </c>
      <c r="AN18" s="236">
        <f t="shared" si="2"/>
        <v>0.9219047693761695</v>
      </c>
      <c r="AO18" s="236">
        <f t="shared" si="2"/>
        <v>3.1251602009047446</v>
      </c>
      <c r="AP18" s="236">
        <f t="shared" si="2"/>
        <v>-10.860486363771301</v>
      </c>
      <c r="AQ18" s="236">
        <f t="shared" si="2"/>
        <v>2.7045653107502972</v>
      </c>
      <c r="AR18" s="236">
        <f t="shared" si="2"/>
        <v>7.1491505924281711</v>
      </c>
      <c r="AS18" s="236">
        <f t="shared" si="2"/>
        <v>3.6749315536466156</v>
      </c>
      <c r="AT18" s="236">
        <f t="shared" si="2"/>
        <v>-1.8830524858393574</v>
      </c>
      <c r="AU18" s="236">
        <f t="shared" si="2"/>
        <v>-4.3583325983256032</v>
      </c>
      <c r="AV18" s="236">
        <f t="shared" si="2"/>
        <v>1.9113178160837947</v>
      </c>
      <c r="AW18" s="236">
        <f t="shared" si="2"/>
        <v>-2.0690906901325263</v>
      </c>
      <c r="AX18" s="236">
        <f t="shared" si="2"/>
        <v>4.4632537584213168</v>
      </c>
      <c r="AY18" s="236">
        <f t="shared" si="2"/>
        <v>-1.423246568693088</v>
      </c>
      <c r="AZ18" s="236">
        <f t="shared" si="2"/>
        <v>-7.5042747694364351</v>
      </c>
      <c r="BA18" s="236">
        <f t="shared" si="2"/>
        <v>2.0798965945754873</v>
      </c>
      <c r="BB18" s="236">
        <f t="shared" si="2"/>
        <v>1.8716694486816863</v>
      </c>
      <c r="BC18" s="236">
        <f t="shared" si="2"/>
        <v>-10.166357415585665</v>
      </c>
      <c r="BD18" s="236">
        <f t="shared" si="2"/>
        <v>-9.08442702865554</v>
      </c>
      <c r="BE18" s="236">
        <f t="shared" si="2"/>
        <v>16.580645698472395</v>
      </c>
      <c r="BF18" s="236">
        <f t="shared" si="2"/>
        <v>8.7263416176806174</v>
      </c>
      <c r="BG18" s="236">
        <f t="shared" si="2"/>
        <v>8.2769298877477127</v>
      </c>
      <c r="BH18" s="236">
        <f t="shared" si="2"/>
        <v>7.1569065641562872</v>
      </c>
      <c r="BI18" s="236">
        <f t="shared" si="2"/>
        <v>3.7183559519728675</v>
      </c>
      <c r="BJ18" s="236">
        <f t="shared" si="2"/>
        <v>-4.6463457672158626</v>
      </c>
      <c r="BK18" s="236">
        <f t="shared" si="2"/>
        <v>-2.9665917520700873</v>
      </c>
      <c r="BL18" s="236">
        <f t="shared" si="2"/>
        <v>2.621397940324897</v>
      </c>
      <c r="BM18" s="236">
        <f t="shared" si="2"/>
        <v>4.0736684847401818</v>
      </c>
      <c r="BN18" s="236">
        <f t="shared" si="2"/>
        <v>-0.12100465450703268</v>
      </c>
      <c r="BO18" s="236">
        <f t="shared" si="2"/>
        <v>-6.5344699023293913</v>
      </c>
      <c r="BP18" s="236">
        <f t="shared" si="2"/>
        <v>-6.3206463707145844</v>
      </c>
    </row>
    <row r="20" spans="3:68">
      <c r="C20" s="474"/>
      <c r="D20" s="474"/>
      <c r="E20" s="474"/>
      <c r="F20" s="474"/>
      <c r="G20" s="474"/>
      <c r="H20" s="474"/>
      <c r="I20" s="474"/>
      <c r="J20" s="210"/>
    </row>
    <row r="21" spans="3:68">
      <c r="C21" s="265"/>
      <c r="D21" s="266" t="s">
        <v>454</v>
      </c>
      <c r="E21" s="266" t="s">
        <v>288</v>
      </c>
      <c r="F21" s="266" t="s">
        <v>289</v>
      </c>
      <c r="G21" s="266" t="s">
        <v>290</v>
      </c>
      <c r="H21" s="266" t="s">
        <v>291</v>
      </c>
      <c r="I21" s="266" t="s">
        <v>455</v>
      </c>
      <c r="J21" s="266"/>
      <c r="K21" s="265"/>
      <c r="L21" s="266"/>
      <c r="M21" s="266"/>
      <c r="N21" s="266"/>
      <c r="O21" s="266"/>
      <c r="P21" s="266"/>
      <c r="Q21" s="266"/>
    </row>
    <row r="22" spans="3:68">
      <c r="C22" s="267" t="s">
        <v>423</v>
      </c>
      <c r="D22" s="268">
        <f t="shared" ref="D22:D29" si="3">AVERAGE(E11:O11)</f>
        <v>1.1432688568611824</v>
      </c>
      <c r="E22" s="268">
        <f t="shared" ref="E22:E29" si="4">AVERAGE(P11:AA11)</f>
        <v>3.3076214744987014</v>
      </c>
      <c r="F22" s="268">
        <f t="shared" ref="F22:F29" si="5">AVERAGE(AB11:AQ11)</f>
        <v>-1.5090856836829838</v>
      </c>
      <c r="G22" s="268">
        <f t="shared" ref="G22:G29" si="6">AVERAGE(AR11:BE11)</f>
        <v>1.7477089991046424</v>
      </c>
      <c r="H22" s="268">
        <f t="shared" ref="H22:H29" si="7">AVERAGE(BF11:BP11)</f>
        <v>2.1510784566979879</v>
      </c>
      <c r="I22" s="268">
        <f t="shared" ref="I22:I29" si="8">AVERAGE(E11:BP11)</f>
        <v>1.1914348936198835</v>
      </c>
      <c r="J22" s="268">
        <f>+AVERAGE(E22:I22)</f>
        <v>1.3777516280476463</v>
      </c>
      <c r="K22" s="267"/>
      <c r="L22" s="268"/>
      <c r="M22" s="268"/>
      <c r="N22" s="268"/>
      <c r="O22" s="268"/>
      <c r="P22" s="268"/>
      <c r="Q22" s="268"/>
    </row>
    <row r="23" spans="3:68">
      <c r="C23" s="267" t="s">
        <v>426</v>
      </c>
      <c r="D23" s="268">
        <f t="shared" si="3"/>
        <v>3.617258253149652</v>
      </c>
      <c r="E23" s="268">
        <f t="shared" si="4"/>
        <v>4.1929983774940558</v>
      </c>
      <c r="F23" s="268">
        <f t="shared" si="5"/>
        <v>1.26837379517944</v>
      </c>
      <c r="G23" s="268">
        <f t="shared" si="6"/>
        <v>1.0946085812733466</v>
      </c>
      <c r="H23" s="268">
        <f t="shared" si="7"/>
        <v>1.8167770152992053</v>
      </c>
      <c r="I23" s="268">
        <f t="shared" si="8"/>
        <v>2.2767010834931871</v>
      </c>
      <c r="J23" s="268">
        <f t="shared" ref="J23:J31" si="9">+AVERAGE(E23:I23)</f>
        <v>2.1298917705478471</v>
      </c>
      <c r="K23" s="267"/>
      <c r="L23" s="268"/>
      <c r="M23" s="268"/>
      <c r="N23" s="268"/>
      <c r="O23" s="268"/>
      <c r="P23" s="268"/>
      <c r="Q23" s="268"/>
    </row>
    <row r="24" spans="3:68">
      <c r="C24" s="267" t="s">
        <v>427</v>
      </c>
      <c r="D24" s="268">
        <f t="shared" si="3"/>
        <v>1.7475426453186045</v>
      </c>
      <c r="E24" s="268">
        <f t="shared" si="4"/>
        <v>1.0171906514604399</v>
      </c>
      <c r="F24" s="268">
        <f t="shared" si="5"/>
        <v>1.8259199201533507</v>
      </c>
      <c r="G24" s="268">
        <f t="shared" si="6"/>
        <v>4.4865729095047131</v>
      </c>
      <c r="H24" s="268">
        <f t="shared" si="7"/>
        <v>3.1535292766913829</v>
      </c>
      <c r="I24" s="268">
        <f t="shared" si="8"/>
        <v>2.4710127877367931</v>
      </c>
      <c r="J24" s="268">
        <f t="shared" si="9"/>
        <v>2.5908451091093356</v>
      </c>
      <c r="K24" s="267"/>
      <c r="L24" s="268"/>
      <c r="M24" s="268"/>
      <c r="N24" s="268"/>
      <c r="O24" s="268"/>
      <c r="P24" s="268"/>
      <c r="Q24" s="268"/>
    </row>
    <row r="25" spans="3:68">
      <c r="C25" s="267" t="s">
        <v>428</v>
      </c>
      <c r="D25" s="268">
        <f t="shared" si="3"/>
        <v>1.729663846716194</v>
      </c>
      <c r="E25" s="268">
        <f t="shared" si="4"/>
        <v>2.8215686066133636</v>
      </c>
      <c r="F25" s="268">
        <f t="shared" si="5"/>
        <v>1.8337997437033735</v>
      </c>
      <c r="G25" s="268">
        <f t="shared" si="6"/>
        <v>1.3867284937089275</v>
      </c>
      <c r="H25" s="268">
        <f t="shared" si="7"/>
        <v>3.3387667427337182</v>
      </c>
      <c r="I25" s="268">
        <f t="shared" si="8"/>
        <v>2.1619774152263806</v>
      </c>
      <c r="J25" s="268">
        <f t="shared" si="9"/>
        <v>2.3085682003971528</v>
      </c>
      <c r="K25" s="267"/>
      <c r="L25" s="268"/>
      <c r="M25" s="268"/>
      <c r="N25" s="268"/>
      <c r="O25" s="268"/>
      <c r="P25" s="268"/>
      <c r="Q25" s="268"/>
    </row>
    <row r="26" spans="3:68">
      <c r="C26" s="267" t="s">
        <v>431</v>
      </c>
      <c r="D26" s="268">
        <f t="shared" si="3"/>
        <v>2.2354740296893554</v>
      </c>
      <c r="E26" s="268">
        <f t="shared" si="4"/>
        <v>3.1847777767673797</v>
      </c>
      <c r="F26" s="268">
        <f t="shared" si="5"/>
        <v>0.97328332831955411</v>
      </c>
      <c r="G26" s="268">
        <f t="shared" si="6"/>
        <v>0.94391997842133735</v>
      </c>
      <c r="H26" s="268">
        <f t="shared" si="7"/>
        <v>2.5481077123395397</v>
      </c>
      <c r="I26" s="268">
        <f t="shared" si="8"/>
        <v>1.8691272724146561</v>
      </c>
      <c r="J26" s="268">
        <f t="shared" si="9"/>
        <v>1.9038432136524936</v>
      </c>
      <c r="K26" s="267"/>
      <c r="L26" s="268"/>
      <c r="M26" s="268"/>
      <c r="N26" s="268"/>
      <c r="O26" s="268"/>
      <c r="P26" s="268"/>
      <c r="Q26" s="268"/>
    </row>
    <row r="27" spans="3:68">
      <c r="C27" s="267" t="s">
        <v>434</v>
      </c>
      <c r="D27" s="268">
        <f t="shared" si="3"/>
        <v>2.419945044836842</v>
      </c>
      <c r="E27" s="268">
        <f t="shared" si="4"/>
        <v>3.7938199069962266</v>
      </c>
      <c r="F27" s="268">
        <f t="shared" si="5"/>
        <v>1.2936770931302251</v>
      </c>
      <c r="G27" s="268">
        <f t="shared" si="6"/>
        <v>1.3886167388257786</v>
      </c>
      <c r="H27" s="268">
        <f t="shared" si="7"/>
        <v>1.1142831112482101</v>
      </c>
      <c r="I27" s="268">
        <f t="shared" si="8"/>
        <v>1.9459658817896062</v>
      </c>
      <c r="J27" s="268">
        <f t="shared" si="9"/>
        <v>1.9072725463980096</v>
      </c>
      <c r="K27" s="267"/>
      <c r="L27" s="268"/>
      <c r="M27" s="268"/>
      <c r="N27" s="268"/>
      <c r="O27" s="268"/>
      <c r="P27" s="268"/>
      <c r="Q27" s="268"/>
    </row>
    <row r="28" spans="3:68">
      <c r="C28" s="267" t="s">
        <v>435</v>
      </c>
      <c r="D28" s="268">
        <f t="shared" si="3"/>
        <v>2.8430787216123448</v>
      </c>
      <c r="E28" s="268">
        <f t="shared" si="4"/>
        <v>1.9439367281700857</v>
      </c>
      <c r="F28" s="268">
        <f t="shared" si="5"/>
        <v>-1.7126877353915777</v>
      </c>
      <c r="G28" s="268">
        <f t="shared" si="6"/>
        <v>2.2827099544929319</v>
      </c>
      <c r="H28" s="268">
        <f t="shared" si="7"/>
        <v>4.8308916269162578</v>
      </c>
      <c r="I28" s="268">
        <f t="shared" si="8"/>
        <v>1.754622658882679</v>
      </c>
      <c r="J28" s="268">
        <f t="shared" si="9"/>
        <v>1.8198946466140753</v>
      </c>
      <c r="K28" s="267"/>
      <c r="L28" s="268"/>
      <c r="M28" s="268"/>
      <c r="N28" s="268"/>
      <c r="O28" s="268"/>
      <c r="P28" s="268"/>
      <c r="Q28" s="268"/>
    </row>
    <row r="29" spans="3:68">
      <c r="C29" s="267" t="s">
        <v>440</v>
      </c>
      <c r="D29" s="268">
        <f t="shared" si="3"/>
        <v>1.6339636838656781</v>
      </c>
      <c r="E29" s="268">
        <f t="shared" si="4"/>
        <v>1.2739771899656382</v>
      </c>
      <c r="F29" s="268">
        <f t="shared" si="5"/>
        <v>-1.3647189971931235</v>
      </c>
      <c r="G29" s="268">
        <f t="shared" si="6"/>
        <v>8.8720278974375136E-2</v>
      </c>
      <c r="H29" s="268">
        <f t="shared" si="7"/>
        <v>1.2713219999805097</v>
      </c>
      <c r="I29" s="268">
        <f t="shared" si="8"/>
        <v>0.41644451175698438</v>
      </c>
      <c r="J29" s="268">
        <f t="shared" si="9"/>
        <v>0.33714899669687676</v>
      </c>
      <c r="K29" s="267"/>
      <c r="L29" s="268"/>
      <c r="M29" s="268"/>
      <c r="N29" s="268"/>
      <c r="O29" s="268"/>
      <c r="P29" s="268"/>
      <c r="Q29" s="268"/>
    </row>
    <row r="30" spans="3:68">
      <c r="C30" s="283" t="s">
        <v>449</v>
      </c>
      <c r="D30" s="284">
        <v>0.6906279214587272</v>
      </c>
      <c r="E30" s="284">
        <v>2.6266415544124349</v>
      </c>
      <c r="F30" s="284">
        <v>3.8322192141488491</v>
      </c>
      <c r="G30" s="284">
        <v>1.3223116877786165E-3</v>
      </c>
      <c r="H30" s="284">
        <v>3.0379783677410162</v>
      </c>
      <c r="I30" s="284">
        <v>2.091693556627451</v>
      </c>
      <c r="J30" s="284">
        <f>+AVERAGE(D30:I30)</f>
        <v>2.0467471543460429</v>
      </c>
      <c r="K30" s="267"/>
      <c r="L30" s="268"/>
      <c r="M30" s="268"/>
      <c r="N30" s="268"/>
      <c r="O30" s="268"/>
      <c r="P30" s="268"/>
      <c r="Q30" s="268"/>
    </row>
    <row r="31" spans="3:68">
      <c r="C31" s="267" t="s">
        <v>456</v>
      </c>
      <c r="D31" s="268">
        <f t="shared" ref="D31:I31" si="10">AVERAGE(D22:D30)</f>
        <v>2.0067581115009534</v>
      </c>
      <c r="E31" s="268">
        <f t="shared" si="10"/>
        <v>2.6847258073753699</v>
      </c>
      <c r="F31" s="268">
        <f t="shared" si="10"/>
        <v>0.71564229759634523</v>
      </c>
      <c r="G31" s="268">
        <f t="shared" si="10"/>
        <v>1.4912120273326477</v>
      </c>
      <c r="H31" s="268">
        <f t="shared" si="10"/>
        <v>2.5847482566275364</v>
      </c>
      <c r="I31" s="268">
        <f t="shared" si="10"/>
        <v>1.7976644512830688</v>
      </c>
      <c r="J31" s="268">
        <f t="shared" si="9"/>
        <v>1.8547985680429935</v>
      </c>
    </row>
    <row r="35" spans="3:18">
      <c r="C35" s="475" t="s">
        <v>457</v>
      </c>
      <c r="D35" s="475"/>
      <c r="E35" s="475"/>
      <c r="F35" s="475"/>
      <c r="G35" s="475"/>
      <c r="H35" s="475"/>
      <c r="I35" s="475"/>
      <c r="L35" s="475" t="s">
        <v>457</v>
      </c>
      <c r="M35" s="475"/>
      <c r="N35" s="475"/>
      <c r="O35" s="475"/>
      <c r="P35" s="475"/>
      <c r="Q35" s="475"/>
      <c r="R35" s="475"/>
    </row>
    <row r="36" spans="3:18">
      <c r="C36" s="269" t="s">
        <v>458</v>
      </c>
      <c r="D36" s="270" t="s">
        <v>454</v>
      </c>
      <c r="E36" s="270" t="s">
        <v>288</v>
      </c>
      <c r="F36" s="270" t="s">
        <v>289</v>
      </c>
      <c r="G36" s="270" t="s">
        <v>290</v>
      </c>
      <c r="H36" s="270" t="s">
        <v>291</v>
      </c>
      <c r="I36" s="270" t="s">
        <v>455</v>
      </c>
      <c r="L36" s="269" t="s">
        <v>458</v>
      </c>
      <c r="M36" s="270" t="s">
        <v>454</v>
      </c>
      <c r="N36" s="270" t="s">
        <v>288</v>
      </c>
      <c r="O36" s="270" t="s">
        <v>289</v>
      </c>
      <c r="P36" s="270" t="s">
        <v>290</v>
      </c>
      <c r="Q36" s="270" t="s">
        <v>291</v>
      </c>
      <c r="R36" s="270" t="s">
        <v>455</v>
      </c>
    </row>
    <row r="37" spans="3:18">
      <c r="C37" s="271" t="s">
        <v>427</v>
      </c>
      <c r="D37" s="268">
        <v>1.7475426453186045</v>
      </c>
      <c r="E37" s="268">
        <v>1.0171906514604399</v>
      </c>
      <c r="F37" s="268">
        <v>1.8259199201533507</v>
      </c>
      <c r="G37" s="268">
        <v>4.4865729095047131</v>
      </c>
      <c r="H37" s="268">
        <v>3.1535292766913829</v>
      </c>
      <c r="I37" s="268">
        <v>2.4710127877367931</v>
      </c>
      <c r="L37" s="271" t="s">
        <v>427</v>
      </c>
      <c r="M37" s="268">
        <v>1.7475426453186045</v>
      </c>
      <c r="N37" s="268">
        <v>1.0171906514604399</v>
      </c>
      <c r="O37" s="268">
        <v>1.8259199201533507</v>
      </c>
      <c r="P37" s="268">
        <v>4.4865729095047131</v>
      </c>
      <c r="Q37" s="268">
        <v>3.1535292766913829</v>
      </c>
      <c r="R37" s="268">
        <v>2.4710127877367931</v>
      </c>
    </row>
    <row r="38" spans="3:18">
      <c r="C38" s="271" t="s">
        <v>426</v>
      </c>
      <c r="D38" s="268">
        <v>3.617258253149652</v>
      </c>
      <c r="E38" s="268">
        <v>4.1929983774940558</v>
      </c>
      <c r="F38" s="268">
        <v>1.26837379517944</v>
      </c>
      <c r="G38" s="268">
        <v>1.0946085812733466</v>
      </c>
      <c r="H38" s="268">
        <v>1.8167770152992053</v>
      </c>
      <c r="I38" s="268">
        <v>2.2767010834931871</v>
      </c>
      <c r="L38" s="271" t="s">
        <v>426</v>
      </c>
      <c r="M38" s="268">
        <v>3.617258253149652</v>
      </c>
      <c r="N38" s="268">
        <v>4.1929983774940558</v>
      </c>
      <c r="O38" s="268">
        <v>1.26837379517944</v>
      </c>
      <c r="P38" s="268">
        <v>1.0946085812733466</v>
      </c>
      <c r="Q38" s="268">
        <v>1.8167770152992053</v>
      </c>
      <c r="R38" s="268">
        <v>2.2767010834931871</v>
      </c>
    </row>
    <row r="39" spans="3:18">
      <c r="C39" s="271" t="s">
        <v>428</v>
      </c>
      <c r="D39" s="268">
        <v>1.729663846716194</v>
      </c>
      <c r="E39" s="268">
        <v>2.8215686066133636</v>
      </c>
      <c r="F39" s="268">
        <v>1.8337997437033735</v>
      </c>
      <c r="G39" s="268">
        <v>1.3867284937089275</v>
      </c>
      <c r="H39" s="268">
        <v>3.3387667427337182</v>
      </c>
      <c r="I39" s="268">
        <v>2.1619774152263806</v>
      </c>
      <c r="L39" s="271" t="s">
        <v>428</v>
      </c>
      <c r="M39" s="268">
        <v>1.729663846716194</v>
      </c>
      <c r="N39" s="268">
        <v>2.8215686066133636</v>
      </c>
      <c r="O39" s="268">
        <v>1.8337997437033735</v>
      </c>
      <c r="P39" s="268">
        <v>1.3867284937089275</v>
      </c>
      <c r="Q39" s="268">
        <v>3.3387667427337182</v>
      </c>
      <c r="R39" s="268">
        <v>2.1619774152263806</v>
      </c>
    </row>
    <row r="40" spans="3:18">
      <c r="C40" s="272" t="s">
        <v>436</v>
      </c>
      <c r="D40" s="273">
        <v>0.6906279214587272</v>
      </c>
      <c r="E40" s="273">
        <v>2.6266415544124349</v>
      </c>
      <c r="F40" s="273">
        <v>3.8322192141488491</v>
      </c>
      <c r="G40" s="273">
        <v>1.3223116877786165E-3</v>
      </c>
      <c r="H40" s="273">
        <v>3.0379783677410162</v>
      </c>
      <c r="I40" s="273">
        <v>2.091693556627451</v>
      </c>
      <c r="L40" s="272" t="s">
        <v>436</v>
      </c>
      <c r="M40" s="273">
        <v>0.6906279214587272</v>
      </c>
      <c r="N40" s="273">
        <v>2.6266415544124349</v>
      </c>
      <c r="O40" s="273">
        <v>3.8322192141488491</v>
      </c>
      <c r="P40" s="273">
        <v>1.3223116877786165E-3</v>
      </c>
      <c r="Q40" s="273">
        <v>3.0379783677410162</v>
      </c>
      <c r="R40" s="273">
        <v>2.091693556627451</v>
      </c>
    </row>
    <row r="41" spans="3:18">
      <c r="C41" s="271" t="s">
        <v>434</v>
      </c>
      <c r="D41" s="268">
        <v>2.419945044836842</v>
      </c>
      <c r="E41" s="268">
        <v>3.7938199069962266</v>
      </c>
      <c r="F41" s="268">
        <v>1.2936770931302251</v>
      </c>
      <c r="G41" s="268">
        <v>1.3886167388257786</v>
      </c>
      <c r="H41" s="268">
        <v>1.1142831112482101</v>
      </c>
      <c r="I41" s="268">
        <v>1.9459658817896062</v>
      </c>
      <c r="L41" s="271" t="s">
        <v>434</v>
      </c>
      <c r="M41" s="268">
        <v>2.419945044836842</v>
      </c>
      <c r="N41" s="268">
        <v>3.7938199069962266</v>
      </c>
      <c r="O41" s="268">
        <v>1.2936770931302251</v>
      </c>
      <c r="P41" s="268">
        <v>1.3886167388257786</v>
      </c>
      <c r="Q41" s="268">
        <v>1.1142831112482101</v>
      </c>
      <c r="R41" s="268">
        <v>1.9459658817896062</v>
      </c>
    </row>
    <row r="42" spans="3:18">
      <c r="C42" s="271" t="s">
        <v>431</v>
      </c>
      <c r="D42" s="268">
        <v>2.2354740296893554</v>
      </c>
      <c r="E42" s="268">
        <v>3.1847777767673797</v>
      </c>
      <c r="F42" s="268">
        <v>0.97328332831955411</v>
      </c>
      <c r="G42" s="268">
        <v>0.94391997842133735</v>
      </c>
      <c r="H42" s="268">
        <v>2.5481077123395397</v>
      </c>
      <c r="I42" s="268">
        <v>1.8691272724146561</v>
      </c>
      <c r="L42" s="271" t="s">
        <v>431</v>
      </c>
      <c r="M42" s="268">
        <v>2.2354740296893554</v>
      </c>
      <c r="N42" s="268">
        <v>3.1847777767673797</v>
      </c>
      <c r="O42" s="268">
        <v>0.97328332831955411</v>
      </c>
      <c r="P42" s="268">
        <v>0.94391997842133735</v>
      </c>
      <c r="Q42" s="268">
        <v>2.5481077123395397</v>
      </c>
      <c r="R42" s="268">
        <v>1.8691272724146561</v>
      </c>
    </row>
    <row r="43" spans="3:18">
      <c r="C43" s="271" t="s">
        <v>459</v>
      </c>
      <c r="D43" s="274">
        <v>2.0067581115009534</v>
      </c>
      <c r="E43" s="274">
        <v>2.6847258073753699</v>
      </c>
      <c r="F43" s="274">
        <v>0.71564229759634523</v>
      </c>
      <c r="G43" s="274">
        <v>1.4912120273326477</v>
      </c>
      <c r="H43" s="274">
        <v>2.5847482566275364</v>
      </c>
      <c r="I43" s="274">
        <v>1.7976644512830688</v>
      </c>
      <c r="L43" s="271" t="s">
        <v>435</v>
      </c>
      <c r="M43" s="268">
        <v>2.8430787216123448</v>
      </c>
      <c r="N43" s="268">
        <v>1.9439367281700857</v>
      </c>
      <c r="O43" s="268">
        <v>-1.7126877353915777</v>
      </c>
      <c r="P43" s="268">
        <v>2.2827099544929319</v>
      </c>
      <c r="Q43" s="268">
        <v>4.8308916269162578</v>
      </c>
      <c r="R43" s="268">
        <v>1.754622658882679</v>
      </c>
    </row>
    <row r="44" spans="3:18">
      <c r="C44" s="271" t="s">
        <v>435</v>
      </c>
      <c r="D44" s="268">
        <v>2.8430787216123448</v>
      </c>
      <c r="E44" s="268">
        <v>1.9439367281700857</v>
      </c>
      <c r="F44" s="268">
        <v>-1.7126877353915777</v>
      </c>
      <c r="G44" s="268">
        <v>2.2827099544929319</v>
      </c>
      <c r="H44" s="268">
        <v>4.8308916269162578</v>
      </c>
      <c r="I44" s="268">
        <v>1.754622658882679</v>
      </c>
      <c r="L44" s="271" t="s">
        <v>423</v>
      </c>
      <c r="M44" s="268">
        <v>1.1432688568611824</v>
      </c>
      <c r="N44" s="268">
        <v>3.3076214744987014</v>
      </c>
      <c r="O44" s="268">
        <v>-1.5090856836829838</v>
      </c>
      <c r="P44" s="268">
        <v>1.7477089991046424</v>
      </c>
      <c r="Q44" s="268">
        <v>2.1510784566979879</v>
      </c>
      <c r="R44" s="268">
        <v>1.1914348936198835</v>
      </c>
    </row>
    <row r="45" spans="3:18" ht="15" thickBot="1">
      <c r="C45" s="271" t="s">
        <v>423</v>
      </c>
      <c r="D45" s="268">
        <v>1.1432688568611824</v>
      </c>
      <c r="E45" s="268">
        <v>3.3076214744987014</v>
      </c>
      <c r="F45" s="268">
        <v>-1.5090856836829838</v>
      </c>
      <c r="G45" s="268">
        <v>1.7477089991046424</v>
      </c>
      <c r="H45" s="268">
        <v>2.1510784566979879</v>
      </c>
      <c r="I45" s="268">
        <v>1.1914348936198835</v>
      </c>
      <c r="L45" s="275" t="s">
        <v>440</v>
      </c>
      <c r="M45" s="276">
        <v>1.6339636838656781</v>
      </c>
      <c r="N45" s="276">
        <v>1.2739771899656382</v>
      </c>
      <c r="O45" s="276">
        <v>-1.3647189971931235</v>
      </c>
      <c r="P45" s="276">
        <v>8.8720278974375136E-2</v>
      </c>
      <c r="Q45" s="276">
        <v>1.2713219999805097</v>
      </c>
      <c r="R45" s="276">
        <v>0.41644451175698438</v>
      </c>
    </row>
    <row r="46" spans="3:18" ht="15.6" thickTop="1" thickBot="1">
      <c r="C46" s="275" t="s">
        <v>440</v>
      </c>
      <c r="D46" s="276">
        <v>1.6339636838656781</v>
      </c>
      <c r="E46" s="276">
        <v>1.2739771899656382</v>
      </c>
      <c r="F46" s="276">
        <v>-1.3647189971931235</v>
      </c>
      <c r="G46" s="276">
        <v>8.8720278974375136E-2</v>
      </c>
      <c r="H46" s="276">
        <v>1.2713219999805097</v>
      </c>
      <c r="I46" s="276">
        <v>0.41644451175698438</v>
      </c>
      <c r="L46" s="267" t="s">
        <v>460</v>
      </c>
    </row>
    <row r="47" spans="3:18" ht="15" thickTop="1">
      <c r="C47" s="267" t="s">
        <v>460</v>
      </c>
    </row>
  </sheetData>
  <mergeCells count="3">
    <mergeCell ref="C20:I20"/>
    <mergeCell ref="C35:I35"/>
    <mergeCell ref="L35:R35"/>
  </mergeCell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L58"/>
  <sheetViews>
    <sheetView topLeftCell="A10" workbookViewId="0">
      <selection activeCell="K4" sqref="K4:K57"/>
    </sheetView>
  </sheetViews>
  <sheetFormatPr defaultColWidth="11.44140625" defaultRowHeight="12"/>
  <cols>
    <col min="1" max="1" width="11.44140625" style="298"/>
    <col min="2" max="2" width="11.44140625" style="303"/>
    <col min="3" max="7" width="11.44140625" style="298"/>
    <col min="8" max="10" width="11.44140625" style="298" customWidth="1"/>
    <col min="11" max="11" width="11.44140625" style="298"/>
    <col min="12" max="12" width="12.44140625" style="298" customWidth="1"/>
    <col min="13" max="16384" width="11.44140625" style="298"/>
  </cols>
  <sheetData>
    <row r="2" spans="2:12">
      <c r="C2" s="298" t="s">
        <v>355</v>
      </c>
      <c r="D2" s="298" t="s">
        <v>355</v>
      </c>
      <c r="E2" s="298" t="s">
        <v>355</v>
      </c>
      <c r="F2" s="298" t="s">
        <v>355</v>
      </c>
      <c r="G2" s="298" t="s">
        <v>355</v>
      </c>
      <c r="H2" s="298" t="s">
        <v>355</v>
      </c>
      <c r="I2" s="298" t="s">
        <v>355</v>
      </c>
      <c r="J2" s="298" t="s">
        <v>355</v>
      </c>
      <c r="K2" s="298" t="s">
        <v>356</v>
      </c>
    </row>
    <row r="3" spans="2:12" ht="24">
      <c r="B3" s="343" t="s">
        <v>88</v>
      </c>
      <c r="C3" s="343" t="s">
        <v>350</v>
      </c>
      <c r="D3" s="343" t="s">
        <v>451</v>
      </c>
      <c r="E3" s="343" t="s">
        <v>351</v>
      </c>
      <c r="F3" s="343" t="s">
        <v>352</v>
      </c>
      <c r="G3" s="343" t="s">
        <v>360</v>
      </c>
      <c r="H3" s="343" t="s">
        <v>353</v>
      </c>
      <c r="I3" s="343" t="s">
        <v>450</v>
      </c>
      <c r="J3" s="343" t="s">
        <v>452</v>
      </c>
      <c r="K3" s="343" t="s">
        <v>362</v>
      </c>
      <c r="L3" s="343" t="s">
        <v>420</v>
      </c>
    </row>
    <row r="4" spans="2:12">
      <c r="B4" s="321">
        <v>1961</v>
      </c>
      <c r="C4" s="344">
        <v>102</v>
      </c>
      <c r="D4" s="344">
        <v>642.95321833333321</v>
      </c>
      <c r="E4" s="344">
        <v>47.7</v>
      </c>
      <c r="F4" s="344">
        <v>58.61</v>
      </c>
      <c r="G4" s="344">
        <v>681.9632192426667</v>
      </c>
      <c r="H4" s="344" t="s">
        <v>357</v>
      </c>
      <c r="I4" s="344">
        <v>136.58000000000001</v>
      </c>
      <c r="J4" s="344">
        <v>53.131401671600003</v>
      </c>
      <c r="K4" s="344">
        <v>2.2100000000000004</v>
      </c>
      <c r="L4" s="345" t="s">
        <v>110</v>
      </c>
    </row>
    <row r="5" spans="2:12">
      <c r="B5" s="321">
        <v>1962</v>
      </c>
      <c r="C5" s="344">
        <v>92</v>
      </c>
      <c r="D5" s="344">
        <v>627.24544333333336</v>
      </c>
      <c r="E5" s="344">
        <v>48.65</v>
      </c>
      <c r="F5" s="344">
        <v>64.33</v>
      </c>
      <c r="G5" s="344">
        <v>714.11396368433338</v>
      </c>
      <c r="H5" s="344" t="s">
        <v>357</v>
      </c>
      <c r="I5" s="344">
        <v>152.75</v>
      </c>
      <c r="J5" s="344">
        <v>105.821878848</v>
      </c>
      <c r="K5" s="344">
        <v>2.23</v>
      </c>
      <c r="L5" s="345" t="s">
        <v>110</v>
      </c>
    </row>
    <row r="6" spans="2:12">
      <c r="B6" s="321">
        <v>1963</v>
      </c>
      <c r="C6" s="344">
        <v>101</v>
      </c>
      <c r="D6" s="344">
        <v>644.71689833333335</v>
      </c>
      <c r="E6" s="344">
        <v>53.77</v>
      </c>
      <c r="F6" s="344">
        <v>64.489999999999995</v>
      </c>
      <c r="G6" s="344">
        <v>666.34714337100013</v>
      </c>
      <c r="H6" s="344" t="s">
        <v>357</v>
      </c>
      <c r="I6" s="344">
        <v>143.25</v>
      </c>
      <c r="J6" s="344">
        <v>228.6193507612</v>
      </c>
      <c r="K6" s="344">
        <v>2.23</v>
      </c>
      <c r="L6" s="345" t="s">
        <v>110</v>
      </c>
    </row>
    <row r="7" spans="2:12">
      <c r="B7" s="321">
        <v>1964</v>
      </c>
      <c r="C7" s="344">
        <v>101</v>
      </c>
      <c r="D7" s="344">
        <v>650.26514166666664</v>
      </c>
      <c r="E7" s="344">
        <v>54.72</v>
      </c>
      <c r="F7" s="344">
        <v>67.61</v>
      </c>
      <c r="G7" s="344">
        <v>840.87975605433337</v>
      </c>
      <c r="H7" s="344" t="s">
        <v>357</v>
      </c>
      <c r="I7" s="344">
        <v>137.83000000000001</v>
      </c>
      <c r="J7" s="344">
        <v>55.115561900000003</v>
      </c>
      <c r="K7" s="344">
        <v>2.23</v>
      </c>
      <c r="L7" s="345" t="s">
        <v>110</v>
      </c>
    </row>
    <row r="8" spans="2:12">
      <c r="B8" s="321">
        <v>1965</v>
      </c>
      <c r="C8" s="344">
        <v>107.33333333333333</v>
      </c>
      <c r="D8" s="344">
        <v>635.71478166666657</v>
      </c>
      <c r="E8" s="344">
        <v>55.25</v>
      </c>
      <c r="F8" s="344">
        <v>59.46</v>
      </c>
      <c r="G8" s="344">
        <v>881.62852815240012</v>
      </c>
      <c r="H8" s="344" t="s">
        <v>357</v>
      </c>
      <c r="I8" s="344">
        <v>136.25</v>
      </c>
      <c r="J8" s="344">
        <v>50.706316948000001</v>
      </c>
      <c r="K8" s="344">
        <v>2.23</v>
      </c>
      <c r="L8" s="345" t="s">
        <v>110</v>
      </c>
    </row>
    <row r="9" spans="2:12">
      <c r="B9" s="321">
        <v>1966</v>
      </c>
      <c r="C9" s="344">
        <v>115.91666666666667</v>
      </c>
      <c r="D9" s="344">
        <v>622.54229666666652</v>
      </c>
      <c r="E9" s="344">
        <v>58</v>
      </c>
      <c r="F9" s="344">
        <v>63</v>
      </c>
      <c r="G9" s="344">
        <v>1022.3569295370668</v>
      </c>
      <c r="H9" s="344" t="s">
        <v>357</v>
      </c>
      <c r="I9" s="344">
        <v>165.66</v>
      </c>
      <c r="J9" s="344">
        <v>29.101016683200005</v>
      </c>
      <c r="K9" s="344">
        <v>2.23</v>
      </c>
      <c r="L9" s="345" t="s">
        <v>110</v>
      </c>
    </row>
    <row r="10" spans="2:12">
      <c r="B10" s="321">
        <v>1967</v>
      </c>
      <c r="C10" s="344">
        <v>103.25</v>
      </c>
      <c r="D10" s="344">
        <v>676.51825333333329</v>
      </c>
      <c r="E10" s="344">
        <v>54.16</v>
      </c>
      <c r="F10" s="344">
        <v>65.7</v>
      </c>
      <c r="G10" s="344">
        <v>1041.1145924370333</v>
      </c>
      <c r="H10" s="344" t="s">
        <v>357</v>
      </c>
      <c r="I10" s="344">
        <v>221</v>
      </c>
      <c r="J10" s="344">
        <v>55.556486395200004</v>
      </c>
      <c r="K10" s="344">
        <v>2.23</v>
      </c>
      <c r="L10" s="345" t="s">
        <v>110</v>
      </c>
    </row>
    <row r="11" spans="2:12">
      <c r="B11" s="321">
        <v>1968</v>
      </c>
      <c r="C11" s="344">
        <v>97.166666666666671</v>
      </c>
      <c r="D11" s="344">
        <v>678.02473000000009</v>
      </c>
      <c r="E11" s="344">
        <v>47.51</v>
      </c>
      <c r="F11" s="344">
        <v>62.8</v>
      </c>
      <c r="G11" s="344">
        <v>1085.0233234173666</v>
      </c>
      <c r="H11" s="344" t="s">
        <v>357</v>
      </c>
      <c r="I11" s="344">
        <v>204.66</v>
      </c>
      <c r="J11" s="344">
        <v>67.902372260800007</v>
      </c>
      <c r="K11" s="344">
        <v>2.23</v>
      </c>
      <c r="L11" s="300">
        <v>119.9545</v>
      </c>
    </row>
    <row r="12" spans="2:12">
      <c r="B12" s="321">
        <v>1969</v>
      </c>
      <c r="C12" s="344">
        <v>94.416666666666671</v>
      </c>
      <c r="D12" s="344">
        <v>613.48506499999996</v>
      </c>
      <c r="E12" s="344">
        <v>51.97</v>
      </c>
      <c r="F12" s="344">
        <v>58.4</v>
      </c>
      <c r="G12" s="344">
        <v>1222.8673437292668</v>
      </c>
      <c r="H12" s="344" t="s">
        <v>357</v>
      </c>
      <c r="I12" s="344">
        <v>185.08</v>
      </c>
      <c r="J12" s="344">
        <v>63.493127308799998</v>
      </c>
      <c r="K12" s="344">
        <v>2.23</v>
      </c>
      <c r="L12" s="300">
        <v>122.05833333333335</v>
      </c>
    </row>
    <row r="13" spans="2:12">
      <c r="B13" s="321">
        <v>1970</v>
      </c>
      <c r="C13" s="344">
        <v>107.33333333333333</v>
      </c>
      <c r="D13" s="344">
        <v>637.75403666666671</v>
      </c>
      <c r="E13" s="344">
        <v>58.26</v>
      </c>
      <c r="F13" s="344">
        <v>54.9</v>
      </c>
      <c r="G13" s="344">
        <v>1304.2914005095333</v>
      </c>
      <c r="H13" s="344" t="s">
        <v>357</v>
      </c>
      <c r="I13" s="344">
        <v>143</v>
      </c>
      <c r="J13" s="344">
        <v>96.121539953600006</v>
      </c>
      <c r="K13" s="344">
        <v>2.23</v>
      </c>
      <c r="L13" s="300">
        <v>122.39516666666668</v>
      </c>
    </row>
    <row r="14" spans="2:12">
      <c r="B14" s="321">
        <v>1971</v>
      </c>
      <c r="C14" s="344">
        <v>115.41666666666667</v>
      </c>
      <c r="D14" s="344">
        <v>746.99955856633335</v>
      </c>
      <c r="E14" s="344">
        <v>58.3</v>
      </c>
      <c r="F14" s="344">
        <v>61.7</v>
      </c>
      <c r="G14" s="344">
        <v>1345.8485341821336</v>
      </c>
      <c r="H14" s="344" t="s">
        <v>357</v>
      </c>
      <c r="I14" s="344">
        <v>130.33000000000001</v>
      </c>
      <c r="J14" s="344">
        <v>176.14933583240003</v>
      </c>
      <c r="K14" s="344">
        <v>3.2050000000000001</v>
      </c>
      <c r="L14" s="300">
        <v>121.06583333333333</v>
      </c>
    </row>
    <row r="15" spans="2:12">
      <c r="B15" s="321">
        <v>1972</v>
      </c>
      <c r="C15" s="344">
        <v>128.66666666666666</v>
      </c>
      <c r="D15" s="344">
        <v>799.39608441559994</v>
      </c>
      <c r="E15" s="344">
        <v>55.74</v>
      </c>
      <c r="F15" s="344">
        <v>69.8</v>
      </c>
      <c r="G15" s="344">
        <v>1480.2753896562333</v>
      </c>
      <c r="H15" s="344" t="s">
        <v>357</v>
      </c>
      <c r="I15" s="344">
        <v>149.91</v>
      </c>
      <c r="J15" s="344">
        <v>220.46224760000001</v>
      </c>
      <c r="K15" s="344">
        <v>3.6141666666666663</v>
      </c>
      <c r="L15" s="300">
        <v>117.82875000000001</v>
      </c>
    </row>
    <row r="16" spans="2:12">
      <c r="B16" s="321">
        <v>1973</v>
      </c>
      <c r="C16" s="344">
        <v>266.5</v>
      </c>
      <c r="D16" s="344">
        <v>1368.7765644718665</v>
      </c>
      <c r="E16" s="344">
        <v>97.47</v>
      </c>
      <c r="F16" s="344">
        <v>139.80000000000001</v>
      </c>
      <c r="G16" s="344">
        <v>2010.3584921564664</v>
      </c>
      <c r="H16" s="344" t="s">
        <v>357</v>
      </c>
      <c r="I16" s="344">
        <v>296.58</v>
      </c>
      <c r="J16" s="344">
        <v>271.82995129080001</v>
      </c>
      <c r="K16" s="344">
        <v>4.2508333333333335</v>
      </c>
      <c r="L16" s="300">
        <v>109.06741666666666</v>
      </c>
    </row>
    <row r="17" spans="2:12">
      <c r="B17" s="321">
        <v>1974</v>
      </c>
      <c r="C17" s="344">
        <v>254.16666666666666</v>
      </c>
      <c r="D17" s="344">
        <v>1435.8522011744169</v>
      </c>
      <c r="E17" s="344">
        <v>132.38</v>
      </c>
      <c r="F17" s="344">
        <v>179.7</v>
      </c>
      <c r="G17" s="344">
        <v>1582.2208073172667</v>
      </c>
      <c r="H17" s="344" t="s">
        <v>357</v>
      </c>
      <c r="I17" s="344">
        <v>541.5</v>
      </c>
      <c r="J17" s="344">
        <v>1040.5818086720001</v>
      </c>
      <c r="K17" s="344">
        <v>12.924999999999997</v>
      </c>
      <c r="L17" s="300">
        <v>99.160000000000011</v>
      </c>
    </row>
    <row r="18" spans="2:12">
      <c r="B18" s="321">
        <v>1975</v>
      </c>
      <c r="C18" s="344">
        <v>201.08333333333334</v>
      </c>
      <c r="D18" s="344">
        <v>1170.3421760784834</v>
      </c>
      <c r="E18" s="344">
        <v>119.55</v>
      </c>
      <c r="F18" s="344">
        <v>149.1</v>
      </c>
      <c r="G18" s="344">
        <v>1327.0908712821665</v>
      </c>
      <c r="H18" s="344" t="s">
        <v>357</v>
      </c>
      <c r="I18" s="344">
        <v>363.16</v>
      </c>
      <c r="J18" s="344">
        <v>294.75802504119997</v>
      </c>
      <c r="K18" s="344">
        <v>11.5</v>
      </c>
      <c r="L18" s="300">
        <v>101.42950000000002</v>
      </c>
    </row>
    <row r="19" spans="2:12">
      <c r="B19" s="321">
        <v>1976</v>
      </c>
      <c r="C19" s="344">
        <v>216.5</v>
      </c>
      <c r="D19" s="344">
        <v>1702.8319745410165</v>
      </c>
      <c r="E19" s="344">
        <v>112.26</v>
      </c>
      <c r="F19" s="344">
        <v>132.9</v>
      </c>
      <c r="G19" s="344">
        <v>1581.0082649554665</v>
      </c>
      <c r="H19" s="344" t="s">
        <v>357</v>
      </c>
      <c r="I19" s="344">
        <v>254.08</v>
      </c>
      <c r="J19" s="344">
        <v>177.03118482279999</v>
      </c>
      <c r="K19" s="344">
        <v>13.140000000000002</v>
      </c>
      <c r="L19" s="300">
        <v>98.506333333333316</v>
      </c>
    </row>
    <row r="20" spans="2:12">
      <c r="B20" s="321">
        <v>1977</v>
      </c>
      <c r="C20" s="344">
        <v>261.16666666666669</v>
      </c>
      <c r="D20" s="344">
        <v>1572.4469310795</v>
      </c>
      <c r="E20" s="344">
        <v>95.37</v>
      </c>
      <c r="F20" s="344">
        <v>103.2</v>
      </c>
      <c r="G20" s="344">
        <v>1506.4736534127001</v>
      </c>
      <c r="H20" s="344" t="s">
        <v>357</v>
      </c>
      <c r="I20" s="344">
        <v>272.41000000000003</v>
      </c>
      <c r="J20" s="344">
        <v>207.23451274400003</v>
      </c>
      <c r="K20" s="344">
        <v>14.307500000000003</v>
      </c>
      <c r="L20" s="300">
        <v>105.63375000000001</v>
      </c>
    </row>
    <row r="21" spans="2:12">
      <c r="B21" s="321">
        <v>1978</v>
      </c>
      <c r="C21" s="344">
        <v>242.58333333333334</v>
      </c>
      <c r="D21" s="344">
        <v>1586.2074492636168</v>
      </c>
      <c r="E21" s="344">
        <v>100.75</v>
      </c>
      <c r="F21" s="344">
        <v>127.7</v>
      </c>
      <c r="G21" s="344">
        <v>2138.2633394724003</v>
      </c>
      <c r="H21" s="344" t="s">
        <v>357</v>
      </c>
      <c r="I21" s="344">
        <v>368.5</v>
      </c>
      <c r="J21" s="344">
        <v>185.8496747268</v>
      </c>
      <c r="K21" s="344">
        <v>14.26</v>
      </c>
      <c r="L21" s="300">
        <v>103.35300000000001</v>
      </c>
    </row>
    <row r="22" spans="2:12">
      <c r="B22" s="321">
        <v>1979</v>
      </c>
      <c r="C22" s="344">
        <v>264.33333333333331</v>
      </c>
      <c r="D22" s="344">
        <v>1700.6457239884001</v>
      </c>
      <c r="E22" s="344">
        <v>115.58</v>
      </c>
      <c r="F22" s="344">
        <v>160.30000000000001</v>
      </c>
      <c r="G22" s="344">
        <v>2884.013635687334</v>
      </c>
      <c r="H22" s="344" t="s">
        <v>357</v>
      </c>
      <c r="I22" s="344">
        <v>334.33</v>
      </c>
      <c r="J22" s="344">
        <v>359.57392583559999</v>
      </c>
      <c r="K22" s="344">
        <v>32.112500000000004</v>
      </c>
      <c r="L22" s="300">
        <v>92.402749999999983</v>
      </c>
    </row>
    <row r="23" spans="2:12">
      <c r="B23" s="321">
        <v>1980</v>
      </c>
      <c r="C23" s="344">
        <v>265.33333333333331</v>
      </c>
      <c r="D23" s="344">
        <v>2066.4660685573335</v>
      </c>
      <c r="E23" s="344">
        <v>125.72</v>
      </c>
      <c r="F23" s="344">
        <v>172.7</v>
      </c>
      <c r="G23" s="344">
        <v>2759.9668777044003</v>
      </c>
      <c r="H23" s="344" t="s">
        <v>357</v>
      </c>
      <c r="I23" s="344">
        <v>433.67</v>
      </c>
      <c r="J23" s="344">
        <v>674.1735531608</v>
      </c>
      <c r="K23" s="344">
        <v>37.891666666666666</v>
      </c>
      <c r="L23" s="300">
        <v>88.072083333333339</v>
      </c>
    </row>
    <row r="24" spans="2:12">
      <c r="B24" s="321">
        <v>1981</v>
      </c>
      <c r="C24" s="344">
        <v>261.3</v>
      </c>
      <c r="D24" s="344">
        <v>1849.6782573640003</v>
      </c>
      <c r="E24" s="344">
        <v>130.6</v>
      </c>
      <c r="F24" s="344">
        <v>184</v>
      </c>
      <c r="G24" s="344">
        <v>2833</v>
      </c>
      <c r="H24" s="344">
        <v>224.6</v>
      </c>
      <c r="I24" s="344">
        <v>482.83</v>
      </c>
      <c r="J24" s="344">
        <v>290.56924233680002</v>
      </c>
      <c r="K24" s="344">
        <v>36.700000000000003</v>
      </c>
      <c r="L24" s="300">
        <v>87.397916666666674</v>
      </c>
    </row>
    <row r="25" spans="2:12">
      <c r="B25" s="321">
        <v>1982</v>
      </c>
      <c r="C25" s="344">
        <v>221.2</v>
      </c>
      <c r="D25" s="344">
        <v>1598.3512951</v>
      </c>
      <c r="E25" s="344">
        <v>108.1</v>
      </c>
      <c r="F25" s="344">
        <v>162.1</v>
      </c>
      <c r="G25" s="344">
        <v>2738.7</v>
      </c>
      <c r="H25" s="344">
        <v>185.8</v>
      </c>
      <c r="I25" s="344">
        <v>293.37</v>
      </c>
      <c r="J25" s="344">
        <v>151.01663960600001</v>
      </c>
      <c r="K25" s="344">
        <v>33.4</v>
      </c>
      <c r="L25" s="300">
        <v>103.27616666666667</v>
      </c>
    </row>
    <row r="26" spans="2:12">
      <c r="B26" s="321">
        <v>1983</v>
      </c>
      <c r="C26" s="344">
        <v>259.5</v>
      </c>
      <c r="D26" s="344">
        <v>1853.8670400684002</v>
      </c>
      <c r="E26" s="344">
        <v>136</v>
      </c>
      <c r="F26" s="344">
        <v>177.8</v>
      </c>
      <c r="G26" s="344">
        <v>2796.39</v>
      </c>
      <c r="H26" s="344">
        <v>196.2</v>
      </c>
      <c r="I26" s="344">
        <v>276.83</v>
      </c>
      <c r="J26" s="344">
        <v>180.33811853680001</v>
      </c>
      <c r="K26" s="344">
        <v>29.8</v>
      </c>
      <c r="L26" s="300">
        <v>116.51591666666668</v>
      </c>
    </row>
    <row r="27" spans="2:12">
      <c r="B27" s="321">
        <v>1984</v>
      </c>
      <c r="C27" s="344">
        <v>257.5</v>
      </c>
      <c r="D27" s="344">
        <v>1783.5395830840002</v>
      </c>
      <c r="E27" s="344">
        <v>135.80000000000001</v>
      </c>
      <c r="F27" s="344">
        <v>144.1</v>
      </c>
      <c r="G27" s="344">
        <v>2605.3000000000002</v>
      </c>
      <c r="H27" s="344">
        <v>269.5</v>
      </c>
      <c r="I27" s="344">
        <v>252.25</v>
      </c>
      <c r="J27" s="344">
        <v>91.712295001600012</v>
      </c>
      <c r="K27" s="344">
        <v>28.7</v>
      </c>
      <c r="L27" s="300">
        <v>125.33275000000002</v>
      </c>
    </row>
    <row r="28" spans="2:12">
      <c r="B28" s="321">
        <v>1985</v>
      </c>
      <c r="C28" s="344">
        <v>203.2</v>
      </c>
      <c r="D28" s="344">
        <v>1320.568863124</v>
      </c>
      <c r="E28" s="344">
        <v>112.3</v>
      </c>
      <c r="F28" s="344">
        <v>130.19999999999999</v>
      </c>
      <c r="G28" s="344">
        <v>2467.85</v>
      </c>
      <c r="H28" s="344">
        <v>233.9</v>
      </c>
      <c r="I28" s="344">
        <v>217.41</v>
      </c>
      <c r="J28" s="344">
        <v>123.89978315120001</v>
      </c>
      <c r="K28" s="344">
        <v>27.6</v>
      </c>
      <c r="L28" s="300">
        <v>138.35599999999999</v>
      </c>
    </row>
    <row r="29" spans="2:12">
      <c r="B29" s="321">
        <v>1986</v>
      </c>
      <c r="C29" s="344">
        <v>188.9</v>
      </c>
      <c r="D29" s="344">
        <v>1056.0141660040001</v>
      </c>
      <c r="E29" s="344">
        <v>87.8</v>
      </c>
      <c r="F29" s="344">
        <v>115.28</v>
      </c>
      <c r="G29" s="344">
        <v>2399.98</v>
      </c>
      <c r="H29" s="344">
        <v>185.4</v>
      </c>
      <c r="I29" s="344">
        <v>195.67</v>
      </c>
      <c r="J29" s="344">
        <v>135.80474452160001</v>
      </c>
      <c r="K29" s="344">
        <v>14.4</v>
      </c>
      <c r="L29" s="300">
        <v>143.25225000000003</v>
      </c>
    </row>
    <row r="30" spans="2:12">
      <c r="B30" s="321">
        <v>1987</v>
      </c>
      <c r="C30" s="344">
        <v>195.6</v>
      </c>
      <c r="D30" s="344">
        <v>1649.057612048</v>
      </c>
      <c r="E30" s="344">
        <v>75.5</v>
      </c>
      <c r="F30" s="344">
        <v>90.8</v>
      </c>
      <c r="G30" s="344">
        <v>2733.3</v>
      </c>
      <c r="H30" s="344">
        <v>180</v>
      </c>
      <c r="I30" s="344">
        <v>214.41</v>
      </c>
      <c r="J30" s="344">
        <v>209.21867297240001</v>
      </c>
      <c r="K30" s="344">
        <v>18.399999999999999</v>
      </c>
      <c r="L30" s="300">
        <v>112.13633333333333</v>
      </c>
    </row>
    <row r="31" spans="2:12">
      <c r="B31" s="321">
        <v>1988</v>
      </c>
      <c r="C31" s="344">
        <v>279.67</v>
      </c>
      <c r="D31" s="344">
        <v>1399.9352722600001</v>
      </c>
      <c r="E31" s="344">
        <v>107</v>
      </c>
      <c r="F31" s="344">
        <v>140.69</v>
      </c>
      <c r="G31" s="344">
        <v>2884.8</v>
      </c>
      <c r="H31" s="344">
        <v>238.1</v>
      </c>
      <c r="I31" s="344">
        <v>277.25</v>
      </c>
      <c r="J31" s="344">
        <v>245.81540607400001</v>
      </c>
      <c r="K31" s="344">
        <v>14.97</v>
      </c>
      <c r="L31" s="300">
        <v>96.833666666666673</v>
      </c>
    </row>
    <row r="32" spans="2:12">
      <c r="B32" s="321">
        <v>1989</v>
      </c>
      <c r="C32" s="344">
        <v>247</v>
      </c>
      <c r="D32" s="344">
        <v>1673.3084592840003</v>
      </c>
      <c r="E32" s="344">
        <v>111.4</v>
      </c>
      <c r="F32" s="344">
        <v>167.19</v>
      </c>
      <c r="G32" s="344">
        <v>2942.7</v>
      </c>
      <c r="H32" s="344">
        <v>242.4</v>
      </c>
      <c r="I32" s="344">
        <v>299.75</v>
      </c>
      <c r="J32" s="344">
        <v>290.12831784159999</v>
      </c>
      <c r="K32" s="344">
        <v>18.2</v>
      </c>
      <c r="L32" s="300">
        <v>92.682083333333352</v>
      </c>
    </row>
    <row r="33" spans="2:12">
      <c r="B33" s="321">
        <v>1990</v>
      </c>
      <c r="C33" s="344">
        <v>219.1</v>
      </c>
      <c r="D33" s="344">
        <v>1821.0181651759999</v>
      </c>
      <c r="E33" s="344">
        <v>109.3</v>
      </c>
      <c r="F33" s="344">
        <v>134.1</v>
      </c>
      <c r="G33" s="344">
        <v>2937.7</v>
      </c>
      <c r="H33" s="344">
        <v>141.30000000000001</v>
      </c>
      <c r="I33" s="344">
        <v>270.66000000000003</v>
      </c>
      <c r="J33" s="344">
        <v>320.99303250560001</v>
      </c>
      <c r="K33" s="344">
        <v>23.7</v>
      </c>
      <c r="L33" s="300">
        <v>98.428333333333342</v>
      </c>
    </row>
    <row r="34" spans="2:12">
      <c r="B34" s="321">
        <v>1991</v>
      </c>
      <c r="C34" s="344">
        <v>215.84247959999999</v>
      </c>
      <c r="D34" s="344">
        <v>1624.8067648120002</v>
      </c>
      <c r="E34" s="344">
        <v>96.88</v>
      </c>
      <c r="F34" s="344">
        <v>113.5</v>
      </c>
      <c r="G34" s="344">
        <v>3053.17</v>
      </c>
      <c r="H34" s="344">
        <v>234.8</v>
      </c>
      <c r="I34" s="344">
        <v>293.67</v>
      </c>
      <c r="J34" s="344">
        <v>271.79320758286667</v>
      </c>
      <c r="K34" s="344">
        <v>19.989999999999998</v>
      </c>
      <c r="L34" s="300">
        <v>88.947833333333335</v>
      </c>
    </row>
    <row r="35" spans="2:12">
      <c r="B35" s="321">
        <v>1992</v>
      </c>
      <c r="C35" s="344">
        <v>209.5957616</v>
      </c>
      <c r="D35" s="344">
        <v>1283.0902810320001</v>
      </c>
      <c r="E35" s="344">
        <v>93.02</v>
      </c>
      <c r="F35" s="344">
        <v>133.72</v>
      </c>
      <c r="G35" s="344">
        <v>2813.17</v>
      </c>
      <c r="H35" s="344">
        <v>224.9</v>
      </c>
      <c r="I35" s="344">
        <v>267.66000000000003</v>
      </c>
      <c r="J35" s="344">
        <v>225.66148227256664</v>
      </c>
      <c r="K35" s="344">
        <v>19.34</v>
      </c>
      <c r="L35" s="300">
        <v>89.632249999999999</v>
      </c>
    </row>
    <row r="36" spans="2:12">
      <c r="B36" s="321">
        <v>1993</v>
      </c>
      <c r="C36" s="344">
        <v>230.28342180000001</v>
      </c>
      <c r="D36" s="344">
        <v>1320.568863124</v>
      </c>
      <c r="E36" s="344">
        <v>94.64</v>
      </c>
      <c r="F36" s="344">
        <v>122.92</v>
      </c>
      <c r="G36" s="344">
        <v>3000.17</v>
      </c>
      <c r="H36" s="344">
        <v>272.8</v>
      </c>
      <c r="I36" s="344">
        <v>237.25</v>
      </c>
      <c r="J36" s="344">
        <v>197.25859604009997</v>
      </c>
      <c r="K36" s="344">
        <v>17.04</v>
      </c>
      <c r="L36" s="300">
        <v>86.53416666666665</v>
      </c>
    </row>
    <row r="37" spans="2:12">
      <c r="B37" s="321">
        <v>1994</v>
      </c>
      <c r="C37" s="344">
        <v>229.90739387333332</v>
      </c>
      <c r="D37" s="344">
        <v>1663.4244018499332</v>
      </c>
      <c r="E37" s="344">
        <v>97.19</v>
      </c>
      <c r="F37" s="344">
        <v>130.63999999999999</v>
      </c>
      <c r="G37" s="344">
        <v>2673.7</v>
      </c>
      <c r="H37" s="344">
        <v>289.39999999999998</v>
      </c>
      <c r="I37" s="344">
        <v>269.45</v>
      </c>
      <c r="J37" s="344">
        <v>198.12207317653335</v>
      </c>
      <c r="K37" s="344">
        <v>15.83</v>
      </c>
      <c r="L37" s="300">
        <v>93.034333333333336</v>
      </c>
    </row>
    <row r="38" spans="2:12">
      <c r="B38" s="321">
        <v>1995</v>
      </c>
      <c r="C38" s="344">
        <v>222.67957369333331</v>
      </c>
      <c r="D38" s="344">
        <v>2103.6140228912668</v>
      </c>
      <c r="E38" s="344">
        <v>112.26166666666666</v>
      </c>
      <c r="F38" s="344">
        <v>157.79902500000003</v>
      </c>
      <c r="G38" s="344">
        <v>2155.2917500000003</v>
      </c>
      <c r="H38" s="344">
        <v>252.68466666666666</v>
      </c>
      <c r="I38" s="344">
        <v>320.80166666666668</v>
      </c>
      <c r="J38" s="344">
        <v>268.19232420539998</v>
      </c>
      <c r="K38" s="344">
        <v>17.032499999999999</v>
      </c>
      <c r="L38" s="300">
        <v>91.218916666666658</v>
      </c>
    </row>
    <row r="39" spans="2:12">
      <c r="B39" s="321">
        <v>1996</v>
      </c>
      <c r="C39" s="344">
        <v>277.39469914</v>
      </c>
      <c r="D39" s="344">
        <v>1723.0961835336668</v>
      </c>
      <c r="E39" s="344">
        <v>145.8425</v>
      </c>
      <c r="F39" s="344">
        <v>173.09360000000001</v>
      </c>
      <c r="G39" s="344">
        <v>1959.9524999999996</v>
      </c>
      <c r="H39" s="344">
        <v>224.15733333333336</v>
      </c>
      <c r="I39" s="344">
        <v>338.06416666666667</v>
      </c>
      <c r="J39" s="344">
        <v>252.66810760356668</v>
      </c>
      <c r="K39" s="344">
        <v>20.13</v>
      </c>
      <c r="L39" s="300">
        <v>84.153083333333342</v>
      </c>
    </row>
    <row r="40" spans="2:12">
      <c r="B40" s="321">
        <v>1997</v>
      </c>
      <c r="C40" s="344">
        <v>281.83078755500003</v>
      </c>
      <c r="D40" s="344">
        <v>1597.8001394809999</v>
      </c>
      <c r="E40" s="344">
        <v>108.1315625</v>
      </c>
      <c r="F40" s="344">
        <v>133.50223333333335</v>
      </c>
      <c r="G40" s="344">
        <v>1710.4433333333334</v>
      </c>
      <c r="H40" s="344">
        <v>222.75600000000006</v>
      </c>
      <c r="I40" s="344">
        <v>302.46916666666669</v>
      </c>
      <c r="J40" s="344">
        <v>252.00672086076668</v>
      </c>
      <c r="K40" s="344">
        <v>19.1675</v>
      </c>
      <c r="L40" s="300">
        <v>87.218916666666658</v>
      </c>
    </row>
    <row r="41" spans="2:12">
      <c r="B41" s="321">
        <v>1998</v>
      </c>
      <c r="C41" s="344">
        <v>224.63504139666668</v>
      </c>
      <c r="D41" s="344">
        <v>1513.8040231454004</v>
      </c>
      <c r="E41" s="344">
        <v>91.400042499999998</v>
      </c>
      <c r="F41" s="344">
        <v>105.393275</v>
      </c>
      <c r="G41" s="344">
        <v>1854.1475</v>
      </c>
      <c r="H41" s="344">
        <v>266.09099999999995</v>
      </c>
      <c r="I41" s="344">
        <v>305.42333333333335</v>
      </c>
      <c r="J41" s="344">
        <v>190.22217597086669</v>
      </c>
      <c r="K41" s="344">
        <v>13.428333333333335</v>
      </c>
      <c r="L41" s="300">
        <v>96.244833333333347</v>
      </c>
    </row>
    <row r="42" spans="2:12">
      <c r="B42" s="321">
        <v>1999</v>
      </c>
      <c r="C42" s="344">
        <v>175.98137589166666</v>
      </c>
      <c r="D42" s="344">
        <v>1204.4036304927668</v>
      </c>
      <c r="E42" s="344">
        <v>81.959852499999997</v>
      </c>
      <c r="F42" s="344">
        <v>94.791175833333327</v>
      </c>
      <c r="G42" s="344">
        <v>2247.0683333333332</v>
      </c>
      <c r="H42" s="344">
        <v>186.58533333333335</v>
      </c>
      <c r="I42" s="344">
        <v>248.96833333333333</v>
      </c>
      <c r="J42" s="344">
        <v>135.71288525176666</v>
      </c>
      <c r="K42" s="344">
        <v>18.453333333333333</v>
      </c>
      <c r="L42" s="300">
        <v>98.717583333333337</v>
      </c>
    </row>
    <row r="43" spans="2:12">
      <c r="B43" s="321">
        <v>2000</v>
      </c>
      <c r="C43" s="344">
        <v>183.69858861833336</v>
      </c>
      <c r="D43" s="344">
        <v>1336.4348960345133</v>
      </c>
      <c r="E43" s="344">
        <v>82.025465833333328</v>
      </c>
      <c r="F43" s="344">
        <v>94.745245833333328</v>
      </c>
      <c r="G43" s="344">
        <v>2680.2083333333335</v>
      </c>
      <c r="H43" s="344">
        <v>172.761225</v>
      </c>
      <c r="I43" s="344">
        <v>203.69416666666669</v>
      </c>
      <c r="J43" s="344">
        <v>181.44042977480001</v>
      </c>
      <c r="K43" s="344">
        <v>31.5975</v>
      </c>
      <c r="L43" s="300">
        <v>99.871583333333334</v>
      </c>
    </row>
    <row r="44" spans="2:12">
      <c r="B44" s="321">
        <v>2001</v>
      </c>
      <c r="C44" s="344">
        <v>169.27932114333331</v>
      </c>
      <c r="D44" s="344">
        <v>934.00668381136654</v>
      </c>
      <c r="E44" s="344">
        <v>80.836215833333327</v>
      </c>
      <c r="F44" s="344">
        <v>100.14198416666666</v>
      </c>
      <c r="G44" s="344">
        <v>3397.2916666666665</v>
      </c>
      <c r="H44" s="344">
        <v>230.66786666666667</v>
      </c>
      <c r="I44" s="344">
        <v>172.70500000000001</v>
      </c>
      <c r="J44" s="344">
        <v>181.82623870810002</v>
      </c>
      <c r="K44" s="344">
        <v>25.226666666666663</v>
      </c>
      <c r="L44" s="300">
        <v>109.60433333333333</v>
      </c>
    </row>
    <row r="45" spans="2:12">
      <c r="B45" s="321">
        <v>2002</v>
      </c>
      <c r="C45" s="344">
        <v>185.1836488983333</v>
      </c>
      <c r="D45" s="344">
        <v>900.27595992856675</v>
      </c>
      <c r="E45" s="344">
        <v>89.357808333333324</v>
      </c>
      <c r="F45" s="344">
        <v>118.87363750000002</v>
      </c>
      <c r="G45" s="344">
        <v>2759.7916666666665</v>
      </c>
      <c r="H45" s="344">
        <v>245.60742499999995</v>
      </c>
      <c r="I45" s="344">
        <v>191.82666666666663</v>
      </c>
      <c r="J45" s="344">
        <v>141.16932587986668</v>
      </c>
      <c r="K45" s="344">
        <v>26.340833333333332</v>
      </c>
      <c r="L45" s="300">
        <v>114.98233333333333</v>
      </c>
    </row>
    <row r="46" spans="2:12">
      <c r="B46" s="321">
        <v>2003</v>
      </c>
      <c r="C46" s="344">
        <v>231.93972070500001</v>
      </c>
      <c r="D46" s="344">
        <v>1323.4348723428</v>
      </c>
      <c r="E46" s="344">
        <v>92.179202499999988</v>
      </c>
      <c r="F46" s="344">
        <v>123.77280833333333</v>
      </c>
      <c r="G46" s="344">
        <v>3138.9583333333335</v>
      </c>
      <c r="H46" s="344">
        <v>265.9111666666667</v>
      </c>
      <c r="I46" s="344">
        <v>199.4616666666667</v>
      </c>
      <c r="J46" s="344">
        <v>153.36823691373334</v>
      </c>
      <c r="K46" s="344">
        <v>30.76166666666666</v>
      </c>
      <c r="L46" s="300">
        <v>111.04825</v>
      </c>
    </row>
    <row r="47" spans="2:12">
      <c r="B47" s="321">
        <v>2004</v>
      </c>
      <c r="C47" s="344">
        <v>274.10751689833336</v>
      </c>
      <c r="D47" s="344">
        <v>1233.1372100966335</v>
      </c>
      <c r="E47" s="344">
        <v>99.101449166666669</v>
      </c>
      <c r="F47" s="344">
        <v>125.59466666666664</v>
      </c>
      <c r="G47" s="344">
        <v>3508.9583333333335</v>
      </c>
      <c r="H47" s="344">
        <v>339.25653333333332</v>
      </c>
      <c r="I47" s="344">
        <v>245.78333333333333</v>
      </c>
      <c r="J47" s="344">
        <v>166.11830356659999</v>
      </c>
      <c r="K47" s="344">
        <v>39.861666666666672</v>
      </c>
      <c r="L47" s="300">
        <v>95.739416666666671</v>
      </c>
    </row>
    <row r="48" spans="2:12">
      <c r="B48" s="321">
        <v>2005</v>
      </c>
      <c r="C48" s="344">
        <v>223.55656390666661</v>
      </c>
      <c r="D48" s="344">
        <v>1108.9802209899001</v>
      </c>
      <c r="E48" s="344">
        <v>82.23051000000001</v>
      </c>
      <c r="F48" s="344">
        <v>118.38372500000001</v>
      </c>
      <c r="G48" s="344">
        <v>3753.125</v>
      </c>
      <c r="H48" s="344">
        <v>296.48160833333333</v>
      </c>
      <c r="I48" s="344">
        <v>287.81</v>
      </c>
      <c r="J48" s="344">
        <v>224.76126142819999</v>
      </c>
      <c r="K48" s="344">
        <v>56.227499999999999</v>
      </c>
      <c r="L48" s="300">
        <v>87.382333333333335</v>
      </c>
    </row>
    <row r="49" spans="2:12">
      <c r="B49" s="321">
        <v>2006</v>
      </c>
      <c r="C49" s="344">
        <v>217.70485895666664</v>
      </c>
      <c r="D49" s="344">
        <v>1153.2380171955999</v>
      </c>
      <c r="E49" s="344">
        <v>105.94169833333335</v>
      </c>
      <c r="F49" s="344">
        <v>150.12876666666665</v>
      </c>
      <c r="G49" s="344">
        <v>3366.875</v>
      </c>
      <c r="H49" s="344">
        <v>315.83181666666661</v>
      </c>
      <c r="I49" s="344">
        <v>303.51499999999999</v>
      </c>
      <c r="J49" s="344">
        <v>320.16629907709995</v>
      </c>
      <c r="K49" s="344">
        <v>68.966666666666654</v>
      </c>
      <c r="L49" s="300">
        <v>87.155583333333354</v>
      </c>
    </row>
    <row r="50" spans="2:12">
      <c r="B50" s="321">
        <v>2007</v>
      </c>
      <c r="C50" s="344">
        <v>315.67911897666664</v>
      </c>
      <c r="D50" s="344">
        <v>1250.4802402411667</v>
      </c>
      <c r="E50" s="344">
        <v>148.27900000000002</v>
      </c>
      <c r="F50" s="344">
        <v>240.6867666666667</v>
      </c>
      <c r="G50" s="344">
        <v>3190.2083333333335</v>
      </c>
      <c r="H50" s="344">
        <v>531.38239166666665</v>
      </c>
      <c r="I50" s="344">
        <v>332.39416666666671</v>
      </c>
      <c r="J50" s="344">
        <v>219.28644894613339</v>
      </c>
      <c r="K50" s="344">
        <v>72.931666666666672</v>
      </c>
      <c r="L50" s="300">
        <v>86.618749999999991</v>
      </c>
    </row>
    <row r="51" spans="2:12">
      <c r="B51" s="321">
        <v>2008</v>
      </c>
      <c r="C51" s="344">
        <v>453.62686238666657</v>
      </c>
      <c r="D51" s="344">
        <v>1407.9086568815335</v>
      </c>
      <c r="E51" s="344">
        <v>207.99578333333332</v>
      </c>
      <c r="F51" s="344">
        <v>283.42432500000001</v>
      </c>
      <c r="G51" s="344">
        <v>3340.2083333333335</v>
      </c>
      <c r="H51" s="344">
        <v>558.46024166666678</v>
      </c>
      <c r="I51" s="344">
        <v>700.19916666666666</v>
      </c>
      <c r="J51" s="344">
        <v>267.88000268796668</v>
      </c>
      <c r="K51" s="344">
        <v>97.479166666666671</v>
      </c>
      <c r="L51" s="300">
        <v>80.90325</v>
      </c>
    </row>
    <row r="52" spans="2:12">
      <c r="B52" s="321">
        <v>2009</v>
      </c>
      <c r="C52" s="344">
        <v>381.05</v>
      </c>
      <c r="D52" s="344" t="s">
        <v>358</v>
      </c>
      <c r="E52" s="344">
        <v>144.91999999999999</v>
      </c>
      <c r="F52" s="344">
        <v>192.94</v>
      </c>
      <c r="G52" s="344">
        <v>3152.48</v>
      </c>
      <c r="H52" s="344">
        <v>348.76</v>
      </c>
      <c r="I52" s="344">
        <v>589.37666666666667</v>
      </c>
      <c r="J52" s="344">
        <v>412.94416160876671</v>
      </c>
      <c r="K52" s="344">
        <v>62.08</v>
      </c>
      <c r="L52" s="300">
        <v>76.810833333333335</v>
      </c>
    </row>
    <row r="53" spans="2:12">
      <c r="B53" s="321">
        <v>2010</v>
      </c>
      <c r="C53" s="344">
        <v>385.08821640499997</v>
      </c>
      <c r="D53" s="344">
        <v>2065.7952555511665</v>
      </c>
      <c r="E53" s="344">
        <v>167.37666666666667</v>
      </c>
      <c r="F53" s="344">
        <v>213.36</v>
      </c>
      <c r="G53" s="344">
        <v>3534.9966666666664</v>
      </c>
      <c r="H53" s="344">
        <v>524.40500000000009</v>
      </c>
      <c r="I53" s="344">
        <v>520.55666666666673</v>
      </c>
      <c r="J53" s="344">
        <v>498.42839811566677</v>
      </c>
      <c r="K53" s="344">
        <v>80.142499999999998</v>
      </c>
      <c r="L53" s="300">
        <v>80.637500000000003</v>
      </c>
    </row>
    <row r="54" spans="2:12">
      <c r="B54" s="321">
        <v>2011</v>
      </c>
      <c r="C54" s="344">
        <v>484.44584179000003</v>
      </c>
      <c r="D54" s="344">
        <v>3037.3295128172613</v>
      </c>
      <c r="E54" s="344">
        <v>267.62749999999994</v>
      </c>
      <c r="F54" s="344">
        <v>260.97583333333336</v>
      </c>
      <c r="G54" s="344">
        <v>3990.3174999999997</v>
      </c>
      <c r="H54" s="344">
        <v>583.82416666666654</v>
      </c>
      <c r="I54" s="344">
        <v>533.51750000000004</v>
      </c>
      <c r="J54" s="344">
        <v>600.94334324966667</v>
      </c>
      <c r="K54" s="344">
        <v>110.89833333333335</v>
      </c>
      <c r="L54" s="300">
        <v>81.182916666666671</v>
      </c>
    </row>
    <row r="55" spans="2:12">
      <c r="B55" s="321">
        <v>2012</v>
      </c>
      <c r="C55" s="344">
        <v>536.12242886833337</v>
      </c>
      <c r="D55" s="344">
        <v>1766.1965529394668</v>
      </c>
      <c r="E55" s="344">
        <v>272.62666666666661</v>
      </c>
      <c r="F55" s="344">
        <v>276.71249999999992</v>
      </c>
      <c r="G55" s="344">
        <v>3720.61</v>
      </c>
      <c r="H55" s="344">
        <v>629.74</v>
      </c>
      <c r="I55" s="344">
        <v>554.40916666666669</v>
      </c>
      <c r="J55" s="344">
        <v>471.64223503226663</v>
      </c>
      <c r="K55" s="344">
        <v>111.77250000000002</v>
      </c>
      <c r="L55" s="300">
        <v>76.516083333333327</v>
      </c>
    </row>
    <row r="56" spans="2:12">
      <c r="B56" s="321">
        <v>2013</v>
      </c>
      <c r="C56" s="344">
        <v>517.9083333333333</v>
      </c>
      <c r="D56" s="344">
        <v>1837.8783333333338</v>
      </c>
      <c r="E56" s="344">
        <v>228.89416666666671</v>
      </c>
      <c r="F56" s="344">
        <v>251.61083333333332</v>
      </c>
      <c r="G56" s="344">
        <v>3261.0608333333344</v>
      </c>
      <c r="H56" s="344">
        <v>551.55916666666667</v>
      </c>
      <c r="I56" s="344">
        <v>492.35416666666674</v>
      </c>
      <c r="J56" s="344">
        <v>384.6811081616666</v>
      </c>
      <c r="K56" s="344">
        <v>108.80416666666669</v>
      </c>
      <c r="L56" s="300">
        <v>80.561166666666665</v>
      </c>
    </row>
    <row r="57" spans="2:12">
      <c r="B57" s="321">
        <v>2014</v>
      </c>
      <c r="C57" s="344">
        <v>458.3891666666666</v>
      </c>
      <c r="D57" s="344">
        <v>1689.4583333333333</v>
      </c>
      <c r="E57" s="344">
        <v>163.73749999999995</v>
      </c>
      <c r="F57" s="344">
        <v>216.38166666666666</v>
      </c>
      <c r="G57" s="344">
        <v>3714.6908333333336</v>
      </c>
      <c r="H57" s="344">
        <v>454.06166666666672</v>
      </c>
      <c r="I57" s="344">
        <v>409.6275</v>
      </c>
      <c r="J57" s="344">
        <v>353.64467202073337</v>
      </c>
      <c r="K57" s="344">
        <v>99.638333333333321</v>
      </c>
      <c r="L57" s="300">
        <v>81.438416666666669</v>
      </c>
    </row>
    <row r="58" spans="2:12">
      <c r="L58" s="300">
        <v>82.559250000000006</v>
      </c>
    </row>
  </sheetData>
  <pageMargins left="0.7" right="0.7" top="0.75" bottom="0.75" header="0.3" footer="0.3"/>
  <drawing r:id="rId1"/>
  <legacy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workbookViewId="0">
      <selection activeCell="B1" sqref="B1"/>
    </sheetView>
  </sheetViews>
  <sheetFormatPr defaultColWidth="11.44140625" defaultRowHeight="14.4"/>
  <cols>
    <col min="1" max="1" width="11.44140625" style="43"/>
    <col min="2" max="2" width="70" style="43" bestFit="1" customWidth="1"/>
    <col min="3" max="16384" width="11.44140625" style="43"/>
  </cols>
  <sheetData>
    <row r="2" spans="1:7">
      <c r="B2" s="147" t="s">
        <v>468</v>
      </c>
      <c r="C2" s="147" t="s">
        <v>128</v>
      </c>
      <c r="D2" s="147" t="s">
        <v>469</v>
      </c>
    </row>
    <row r="3" spans="1:7">
      <c r="A3" s="147">
        <v>1</v>
      </c>
      <c r="B3" s="43" t="s">
        <v>417</v>
      </c>
      <c r="C3" s="43" t="s">
        <v>467</v>
      </c>
      <c r="D3" s="43" t="s">
        <v>470</v>
      </c>
      <c r="F3" s="43" t="s">
        <v>483</v>
      </c>
    </row>
    <row r="4" spans="1:7">
      <c r="A4" s="147">
        <v>2</v>
      </c>
      <c r="B4" s="43" t="s">
        <v>416</v>
      </c>
      <c r="C4" s="43" t="s">
        <v>467</v>
      </c>
      <c r="D4" s="43" t="s">
        <v>470</v>
      </c>
      <c r="F4" s="43" t="s">
        <v>483</v>
      </c>
    </row>
    <row r="5" spans="1:7">
      <c r="A5" s="147">
        <v>3</v>
      </c>
      <c r="B5" s="43" t="s">
        <v>472</v>
      </c>
      <c r="F5" s="43" t="s">
        <v>483</v>
      </c>
      <c r="G5" s="319"/>
    </row>
    <row r="6" spans="1:7">
      <c r="A6" s="147">
        <v>4</v>
      </c>
      <c r="B6" s="43" t="s">
        <v>471</v>
      </c>
      <c r="C6" s="43" t="s">
        <v>473</v>
      </c>
      <c r="F6" s="43" t="s">
        <v>483</v>
      </c>
    </row>
    <row r="7" spans="1:7">
      <c r="A7" s="147">
        <v>5</v>
      </c>
      <c r="B7" s="43" t="s">
        <v>484</v>
      </c>
    </row>
    <row r="8" spans="1:7">
      <c r="A8" s="147">
        <v>6</v>
      </c>
      <c r="B8" s="43" t="s">
        <v>486</v>
      </c>
    </row>
    <row r="9" spans="1:7">
      <c r="A9" s="147">
        <v>7</v>
      </c>
      <c r="B9" s="43" t="s">
        <v>485</v>
      </c>
    </row>
    <row r="12" spans="1:7">
      <c r="A12" s="43">
        <v>1</v>
      </c>
      <c r="B12" s="147" t="s">
        <v>492</v>
      </c>
      <c r="C12" s="43" t="s">
        <v>493</v>
      </c>
      <c r="E12" s="43" t="s">
        <v>483</v>
      </c>
    </row>
    <row r="13" spans="1:7">
      <c r="A13" s="43">
        <v>2</v>
      </c>
      <c r="B13" s="147" t="s">
        <v>514</v>
      </c>
    </row>
    <row r="14" spans="1:7">
      <c r="A14" s="43">
        <v>3</v>
      </c>
      <c r="B14" s="147" t="s">
        <v>488</v>
      </c>
      <c r="C14" s="43" t="s">
        <v>493</v>
      </c>
    </row>
    <row r="15" spans="1:7">
      <c r="A15" s="43">
        <v>4</v>
      </c>
      <c r="B15" s="147" t="s">
        <v>494</v>
      </c>
      <c r="C15" s="43" t="s">
        <v>496</v>
      </c>
    </row>
    <row r="16" spans="1:7">
      <c r="A16" s="43">
        <v>5</v>
      </c>
      <c r="B16" s="43" t="s">
        <v>495</v>
      </c>
    </row>
    <row r="17" spans="1:2">
      <c r="A17" s="43">
        <v>6</v>
      </c>
      <c r="B17" s="147" t="s">
        <v>497</v>
      </c>
    </row>
    <row r="18" spans="1:2">
      <c r="A18" s="43">
        <v>7</v>
      </c>
      <c r="B18" s="43" t="s">
        <v>498</v>
      </c>
    </row>
    <row r="19" spans="1:2">
      <c r="A19" s="43">
        <v>8</v>
      </c>
      <c r="B19" s="147" t="s">
        <v>499</v>
      </c>
    </row>
    <row r="20" spans="1:2">
      <c r="A20" s="43">
        <v>9</v>
      </c>
      <c r="B20" s="147" t="s">
        <v>500</v>
      </c>
    </row>
    <row r="21" spans="1:2">
      <c r="A21" s="43">
        <v>10</v>
      </c>
      <c r="B21" s="147" t="s">
        <v>501</v>
      </c>
    </row>
    <row r="22" spans="1:2">
      <c r="A22" s="43">
        <v>11</v>
      </c>
      <c r="B22" s="147" t="s">
        <v>513</v>
      </c>
    </row>
    <row r="23" spans="1:2">
      <c r="A23" s="43">
        <v>13</v>
      </c>
      <c r="B23" s="147" t="s">
        <v>503</v>
      </c>
    </row>
    <row r="24" spans="1:2">
      <c r="A24" s="43">
        <v>14</v>
      </c>
      <c r="B24" s="147" t="s">
        <v>504</v>
      </c>
    </row>
    <row r="25" spans="1:2">
      <c r="A25" s="43">
        <v>15</v>
      </c>
      <c r="B25" s="147" t="s">
        <v>505</v>
      </c>
    </row>
    <row r="26" spans="1:2">
      <c r="A26" s="43">
        <v>16</v>
      </c>
      <c r="B26" s="147" t="s">
        <v>506</v>
      </c>
    </row>
    <row r="27" spans="1:2">
      <c r="A27" s="43">
        <v>17</v>
      </c>
      <c r="B27" s="147" t="s">
        <v>502</v>
      </c>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E25"/>
  <sheetViews>
    <sheetView workbookViewId="0">
      <selection activeCell="D7" sqref="D7"/>
    </sheetView>
  </sheetViews>
  <sheetFormatPr defaultColWidth="10.6640625" defaultRowHeight="14.4"/>
  <cols>
    <col min="1" max="16384" width="10.6640625" style="43"/>
  </cols>
  <sheetData>
    <row r="2" spans="3:5">
      <c r="C2" s="43">
        <v>1</v>
      </c>
      <c r="D2" s="43" t="s">
        <v>515</v>
      </c>
      <c r="E2" s="320" t="s">
        <v>522</v>
      </c>
    </row>
    <row r="3" spans="3:5">
      <c r="C3" s="147">
        <v>1</v>
      </c>
      <c r="D3" s="147" t="s">
        <v>523</v>
      </c>
    </row>
    <row r="4" spans="3:5">
      <c r="C4" s="147">
        <v>2</v>
      </c>
      <c r="D4" s="147" t="s">
        <v>524</v>
      </c>
    </row>
    <row r="5" spans="3:5">
      <c r="D5" s="369" t="s">
        <v>525</v>
      </c>
    </row>
    <row r="6" spans="3:5">
      <c r="D6" s="43" t="s">
        <v>526</v>
      </c>
    </row>
    <row r="7" spans="3:5">
      <c r="D7" s="43" t="s">
        <v>527</v>
      </c>
    </row>
    <row r="8" spans="3:5">
      <c r="D8" s="43" t="s">
        <v>528</v>
      </c>
    </row>
    <row r="9" spans="3:5">
      <c r="C9" s="147">
        <v>3</v>
      </c>
      <c r="D9" s="147" t="s">
        <v>529</v>
      </c>
    </row>
    <row r="10" spans="3:5">
      <c r="C10" s="147"/>
      <c r="D10" s="369" t="s">
        <v>525</v>
      </c>
    </row>
    <row r="11" spans="3:5">
      <c r="D11" s="43" t="s">
        <v>526</v>
      </c>
    </row>
    <row r="12" spans="3:5">
      <c r="D12" s="43" t="s">
        <v>530</v>
      </c>
    </row>
    <row r="13" spans="3:5">
      <c r="D13" s="43" t="s">
        <v>531</v>
      </c>
    </row>
    <row r="14" spans="3:5">
      <c r="D14" s="43" t="s">
        <v>527</v>
      </c>
    </row>
    <row r="15" spans="3:5">
      <c r="D15" s="43" t="s">
        <v>528</v>
      </c>
    </row>
    <row r="16" spans="3:5">
      <c r="C16" s="147">
        <v>4</v>
      </c>
      <c r="D16" s="147" t="s">
        <v>532</v>
      </c>
    </row>
    <row r="17" spans="3:4">
      <c r="D17" s="369" t="s">
        <v>525</v>
      </c>
    </row>
    <row r="18" spans="3:4">
      <c r="D18" s="43" t="s">
        <v>526</v>
      </c>
    </row>
    <row r="19" spans="3:4">
      <c r="D19" s="43" t="s">
        <v>527</v>
      </c>
    </row>
    <row r="20" spans="3:4">
      <c r="D20" s="43" t="s">
        <v>528</v>
      </c>
    </row>
    <row r="21" spans="3:4">
      <c r="C21" s="147">
        <v>5</v>
      </c>
      <c r="D21" s="147" t="s">
        <v>532</v>
      </c>
    </row>
    <row r="22" spans="3:4">
      <c r="D22" s="369" t="s">
        <v>525</v>
      </c>
    </row>
    <row r="23" spans="3:4">
      <c r="D23" s="43" t="s">
        <v>526</v>
      </c>
    </row>
    <row r="24" spans="3:4">
      <c r="D24" s="43" t="s">
        <v>527</v>
      </c>
    </row>
    <row r="25" spans="3:4">
      <c r="D25" s="43" t="s">
        <v>528</v>
      </c>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2:AH68"/>
  <sheetViews>
    <sheetView topLeftCell="A94" zoomScale="70" zoomScaleNormal="70" zoomScalePageLayoutView="70" workbookViewId="0">
      <selection activeCell="I125" sqref="I125"/>
    </sheetView>
  </sheetViews>
  <sheetFormatPr defaultColWidth="11.44140625" defaultRowHeight="14.4"/>
  <sheetData>
    <row r="22" s="236" customFormat="1"/>
    <row r="23" s="236" customFormat="1"/>
    <row r="24" s="236" customFormat="1"/>
    <row r="25" s="236" customFormat="1"/>
    <row r="26" s="236" customFormat="1"/>
    <row r="27" s="236" customFormat="1"/>
    <row r="28" s="236" customFormat="1"/>
    <row r="29" s="236" customFormat="1"/>
    <row r="30" s="236" customFormat="1"/>
    <row r="31" s="236" customFormat="1"/>
    <row r="32" s="236" customFormat="1"/>
    <row r="33" s="236" customFormat="1"/>
    <row r="34" s="236" customFormat="1"/>
    <row r="35" s="236" customFormat="1"/>
    <row r="36" s="236" customFormat="1"/>
    <row r="37" s="236" customFormat="1"/>
    <row r="38" s="236" customFormat="1"/>
    <row r="39" s="236" customFormat="1"/>
    <row r="40" s="236" customFormat="1"/>
    <row r="41" s="236" customFormat="1"/>
    <row r="42" s="236" customFormat="1"/>
    <row r="43" s="236" customFormat="1"/>
    <row r="44" s="236" customFormat="1"/>
    <row r="45" s="236" customFormat="1"/>
    <row r="46" s="236" customFormat="1"/>
    <row r="47" s="236" customFormat="1"/>
    <row r="48" s="236" customFormat="1"/>
    <row r="49" spans="3:34" s="236" customFormat="1"/>
    <row r="50" spans="3:34" s="236" customFormat="1"/>
    <row r="51" spans="3:34" s="236" customFormat="1"/>
    <row r="52" spans="3:34" s="236" customFormat="1"/>
    <row r="53" spans="3:34" s="236" customFormat="1">
      <c r="AE53"/>
    </row>
    <row r="57" spans="3:34">
      <c r="C57" s="475" t="s">
        <v>457</v>
      </c>
      <c r="D57" s="475"/>
      <c r="E57" s="475"/>
      <c r="F57" s="475"/>
      <c r="G57" s="475"/>
      <c r="H57" s="475"/>
      <c r="I57" s="475"/>
    </row>
    <row r="58" spans="3:34">
      <c r="C58" s="269" t="s">
        <v>458</v>
      </c>
      <c r="D58" s="270" t="s">
        <v>454</v>
      </c>
      <c r="E58" s="270" t="s">
        <v>288</v>
      </c>
      <c r="F58" s="270" t="s">
        <v>289</v>
      </c>
      <c r="G58" s="270" t="s">
        <v>290</v>
      </c>
      <c r="H58" s="270" t="s">
        <v>291</v>
      </c>
      <c r="I58" s="270" t="s">
        <v>455</v>
      </c>
    </row>
    <row r="59" spans="3:34">
      <c r="C59" s="271" t="s">
        <v>427</v>
      </c>
      <c r="D59" s="268">
        <v>1.7475426453186045</v>
      </c>
      <c r="E59" s="268">
        <v>1.0171906514604399</v>
      </c>
      <c r="F59" s="268">
        <v>1.8259199201533507</v>
      </c>
      <c r="G59" s="268">
        <v>4.4865729095047131</v>
      </c>
      <c r="H59" s="268">
        <v>3.1535292766913829</v>
      </c>
      <c r="I59" s="268">
        <v>2.4710127877367931</v>
      </c>
    </row>
    <row r="60" spans="3:34">
      <c r="C60" s="271" t="s">
        <v>426</v>
      </c>
      <c r="D60" s="268">
        <v>3.617258253149652</v>
      </c>
      <c r="E60" s="268">
        <v>4.1929983774940558</v>
      </c>
      <c r="F60" s="268">
        <v>1.26837379517944</v>
      </c>
      <c r="G60" s="268">
        <v>1.0946085812733466</v>
      </c>
      <c r="H60" s="268">
        <v>1.8167770152992053</v>
      </c>
      <c r="I60" s="268">
        <v>2.2767010834931871</v>
      </c>
    </row>
    <row r="61" spans="3:34">
      <c r="C61" s="271" t="s">
        <v>428</v>
      </c>
      <c r="D61" s="268">
        <v>1.729663846716194</v>
      </c>
      <c r="E61" s="268">
        <v>2.8215686066133636</v>
      </c>
      <c r="F61" s="268">
        <v>1.8337997437033735</v>
      </c>
      <c r="G61" s="268">
        <v>1.3867284937089275</v>
      </c>
      <c r="H61" s="268">
        <v>3.3387667427337182</v>
      </c>
      <c r="I61" s="268">
        <v>2.1619774152263806</v>
      </c>
    </row>
    <row r="62" spans="3:34">
      <c r="C62" s="272" t="s">
        <v>436</v>
      </c>
      <c r="D62" s="273">
        <v>0.6906279214587272</v>
      </c>
      <c r="E62" s="273">
        <v>2.6266415544124349</v>
      </c>
      <c r="F62" s="273">
        <v>3.8322192141488491</v>
      </c>
      <c r="G62" s="273">
        <v>1.3223116877786165E-3</v>
      </c>
      <c r="H62" s="273">
        <v>3.0379783677410162</v>
      </c>
      <c r="I62" s="273">
        <v>2.091693556627451</v>
      </c>
    </row>
    <row r="63" spans="3:34">
      <c r="C63" s="271" t="s">
        <v>434</v>
      </c>
      <c r="D63" s="268">
        <v>2.419945044836842</v>
      </c>
      <c r="E63" s="268">
        <v>3.7938199069962266</v>
      </c>
      <c r="F63" s="268">
        <v>1.2936770931302251</v>
      </c>
      <c r="G63" s="268">
        <v>1.3886167388257786</v>
      </c>
      <c r="H63" s="268">
        <v>1.1142831112482101</v>
      </c>
      <c r="I63" s="268">
        <v>1.9459658817896062</v>
      </c>
    </row>
    <row r="64" spans="3:34">
      <c r="C64" s="271" t="s">
        <v>431</v>
      </c>
      <c r="D64" s="268">
        <v>2.2354740296893554</v>
      </c>
      <c r="E64" s="268">
        <v>3.1847777767673797</v>
      </c>
      <c r="F64" s="268">
        <v>0.97328332831955411</v>
      </c>
      <c r="G64" s="268">
        <v>0.94391997842133735</v>
      </c>
      <c r="H64" s="268">
        <v>2.5481077123395397</v>
      </c>
      <c r="I64" s="268">
        <v>1.8691272724146561</v>
      </c>
      <c r="AH64" s="236"/>
    </row>
    <row r="65" spans="3:9">
      <c r="C65" s="271" t="s">
        <v>435</v>
      </c>
      <c r="D65" s="268">
        <v>2.8430787216123448</v>
      </c>
      <c r="E65" s="268">
        <v>1.9439367281700857</v>
      </c>
      <c r="F65" s="268">
        <v>-1.7126877353915777</v>
      </c>
      <c r="G65" s="268">
        <v>2.2827099544929319</v>
      </c>
      <c r="H65" s="268">
        <v>4.8308916269162578</v>
      </c>
      <c r="I65" s="268">
        <v>1.754622658882679</v>
      </c>
    </row>
    <row r="66" spans="3:9">
      <c r="C66" s="271" t="s">
        <v>423</v>
      </c>
      <c r="D66" s="268">
        <v>1.1432688568611824</v>
      </c>
      <c r="E66" s="268">
        <v>3.3076214744987014</v>
      </c>
      <c r="F66" s="268">
        <v>-1.5090856836829838</v>
      </c>
      <c r="G66" s="268">
        <v>1.7477089991046424</v>
      </c>
      <c r="H66" s="268">
        <v>2.1510784566979879</v>
      </c>
      <c r="I66" s="268">
        <v>1.1914348936198835</v>
      </c>
    </row>
    <row r="67" spans="3:9" ht="15" thickBot="1">
      <c r="C67" s="275" t="s">
        <v>440</v>
      </c>
      <c r="D67" s="276">
        <v>1.6339636838656781</v>
      </c>
      <c r="E67" s="276">
        <v>1.2739771899656382</v>
      </c>
      <c r="F67" s="276">
        <v>-1.3647189971931235</v>
      </c>
      <c r="G67" s="276">
        <v>8.8720278974375136E-2</v>
      </c>
      <c r="H67" s="276">
        <v>1.2713219999805097</v>
      </c>
      <c r="I67" s="276">
        <v>0.41644451175698438</v>
      </c>
    </row>
    <row r="68" spans="3:9" ht="15" thickTop="1">
      <c r="C68" s="267" t="s">
        <v>460</v>
      </c>
      <c r="D68" s="236"/>
      <c r="E68" s="236"/>
      <c r="F68" s="236"/>
      <c r="G68" s="236"/>
      <c r="H68" s="236"/>
      <c r="I68" s="236"/>
    </row>
  </sheetData>
  <mergeCells count="1">
    <mergeCell ref="C57:I5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theme="9" tint="0.39997558519241921"/>
  </sheetPr>
  <dimension ref="A1:K69"/>
  <sheetViews>
    <sheetView topLeftCell="A7" zoomScale="85" zoomScaleNormal="85" zoomScalePageLayoutView="85" workbookViewId="0">
      <selection activeCell="J24" sqref="J24:J34"/>
    </sheetView>
  </sheetViews>
  <sheetFormatPr defaultColWidth="11.44140625" defaultRowHeight="10.199999999999999"/>
  <cols>
    <col min="1" max="2" width="11.44140625" style="1"/>
    <col min="3" max="11" width="20.6640625" style="20" customWidth="1"/>
    <col min="12" max="16384" width="11.44140625" style="1"/>
  </cols>
  <sheetData>
    <row r="1" spans="1:11" ht="14.4">
      <c r="A1" s="63" t="s">
        <v>166</v>
      </c>
    </row>
    <row r="3" spans="1:11" ht="15" customHeight="1">
      <c r="B3" s="448" t="s">
        <v>51</v>
      </c>
      <c r="C3" s="448"/>
      <c r="D3" s="448"/>
      <c r="E3" s="448"/>
      <c r="F3" s="448"/>
      <c r="G3" s="448"/>
      <c r="H3" s="448"/>
      <c r="I3" s="448"/>
      <c r="J3" s="448"/>
      <c r="K3" s="448"/>
    </row>
    <row r="4" spans="1:11" ht="20.399999999999999">
      <c r="B4" s="8" t="s">
        <v>88</v>
      </c>
      <c r="C4" s="8" t="s">
        <v>72</v>
      </c>
      <c r="D4" s="8" t="s">
        <v>73</v>
      </c>
      <c r="E4" s="8" t="s">
        <v>74</v>
      </c>
      <c r="F4" s="8" t="s">
        <v>75</v>
      </c>
      <c r="G4" s="8" t="s">
        <v>76</v>
      </c>
      <c r="H4" s="8" t="s">
        <v>77</v>
      </c>
      <c r="I4" s="8" t="s">
        <v>78</v>
      </c>
      <c r="J4" s="8" t="s">
        <v>79</v>
      </c>
      <c r="K4" s="8" t="s">
        <v>80</v>
      </c>
    </row>
    <row r="5" spans="1:11">
      <c r="B5" s="16">
        <v>1960</v>
      </c>
      <c r="C5" s="59"/>
      <c r="D5" s="59"/>
      <c r="E5" s="59"/>
      <c r="F5" s="59"/>
      <c r="G5" s="59"/>
      <c r="H5" s="59"/>
      <c r="I5" s="59"/>
      <c r="J5" s="59"/>
      <c r="K5" s="59"/>
    </row>
    <row r="6" spans="1:11">
      <c r="B6" s="16">
        <v>1961</v>
      </c>
      <c r="C6" s="59"/>
      <c r="D6" s="59"/>
      <c r="E6" s="59"/>
      <c r="F6" s="59"/>
      <c r="G6" s="59"/>
      <c r="H6" s="59"/>
      <c r="I6" s="59"/>
      <c r="J6" s="59"/>
      <c r="K6" s="59"/>
    </row>
    <row r="7" spans="1:11">
      <c r="B7" s="16">
        <v>1962</v>
      </c>
      <c r="C7" s="59"/>
      <c r="D7" s="59"/>
      <c r="E7" s="59">
        <v>277</v>
      </c>
      <c r="F7" s="59">
        <v>0</v>
      </c>
      <c r="G7" s="59">
        <v>384</v>
      </c>
      <c r="H7" s="59">
        <v>-21</v>
      </c>
      <c r="I7" s="59">
        <v>4</v>
      </c>
      <c r="J7" s="59">
        <v>17</v>
      </c>
      <c r="K7" s="59">
        <v>0</v>
      </c>
    </row>
    <row r="8" spans="1:11">
      <c r="B8" s="16">
        <v>1963</v>
      </c>
      <c r="C8" s="59"/>
      <c r="D8" s="59"/>
      <c r="E8" s="59">
        <v>287</v>
      </c>
      <c r="F8" s="59">
        <v>1</v>
      </c>
      <c r="G8" s="59">
        <v>363</v>
      </c>
      <c r="H8" s="59">
        <v>-3</v>
      </c>
      <c r="I8" s="59">
        <v>-37</v>
      </c>
      <c r="J8" s="59">
        <v>40</v>
      </c>
      <c r="K8" s="59">
        <v>0</v>
      </c>
    </row>
    <row r="9" spans="1:11">
      <c r="B9" s="16">
        <v>1964</v>
      </c>
      <c r="C9" s="59"/>
      <c r="D9" s="59"/>
      <c r="E9" s="59">
        <v>350</v>
      </c>
      <c r="F9" s="59">
        <v>3</v>
      </c>
      <c r="G9" s="59">
        <v>302</v>
      </c>
      <c r="H9" s="59">
        <v>142</v>
      </c>
      <c r="I9" s="59">
        <v>-12</v>
      </c>
      <c r="J9" s="59">
        <v>-130</v>
      </c>
      <c r="K9" s="59">
        <v>0</v>
      </c>
    </row>
    <row r="10" spans="1:11">
      <c r="B10" s="16">
        <v>1965</v>
      </c>
      <c r="C10" s="59"/>
      <c r="D10" s="59"/>
      <c r="E10" s="59">
        <v>404</v>
      </c>
      <c r="F10" s="59">
        <v>1</v>
      </c>
      <c r="G10" s="59">
        <v>581</v>
      </c>
      <c r="H10" s="59">
        <v>23</v>
      </c>
      <c r="I10" s="59">
        <v>63</v>
      </c>
      <c r="J10" s="59">
        <v>-6</v>
      </c>
      <c r="K10" s="59">
        <v>-80</v>
      </c>
    </row>
    <row r="11" spans="1:11">
      <c r="B11" s="16">
        <v>1966</v>
      </c>
      <c r="C11" s="59"/>
      <c r="D11" s="59"/>
      <c r="E11" s="59">
        <v>114</v>
      </c>
      <c r="F11" s="59">
        <v>90</v>
      </c>
      <c r="G11" s="59">
        <v>1412</v>
      </c>
      <c r="H11" s="59">
        <v>-1007</v>
      </c>
      <c r="I11" s="59">
        <v>905</v>
      </c>
      <c r="J11" s="59">
        <v>119</v>
      </c>
      <c r="K11" s="59">
        <v>-16</v>
      </c>
    </row>
    <row r="12" spans="1:11">
      <c r="B12" s="16">
        <v>1967</v>
      </c>
      <c r="C12" s="59">
        <f>D12+E12</f>
        <v>2672</v>
      </c>
      <c r="D12" s="59">
        <v>2372</v>
      </c>
      <c r="E12" s="59">
        <v>300</v>
      </c>
      <c r="F12" s="59">
        <v>318</v>
      </c>
      <c r="G12" s="59">
        <v>2943</v>
      </c>
      <c r="H12" s="59">
        <v>-2181</v>
      </c>
      <c r="I12" s="59">
        <v>1954</v>
      </c>
      <c r="J12" s="59">
        <v>177</v>
      </c>
      <c r="K12" s="59">
        <v>49</v>
      </c>
    </row>
    <row r="13" spans="1:11">
      <c r="B13" s="16">
        <v>1968</v>
      </c>
      <c r="C13" s="59">
        <f>D13+E13</f>
        <v>3054</v>
      </c>
      <c r="D13" s="59">
        <v>2600</v>
      </c>
      <c r="E13" s="59">
        <v>454</v>
      </c>
      <c r="F13" s="59">
        <v>706</v>
      </c>
      <c r="G13" s="59">
        <v>2755</v>
      </c>
      <c r="H13" s="59">
        <v>-1425</v>
      </c>
      <c r="I13" s="59">
        <v>1504</v>
      </c>
      <c r="J13" s="59">
        <v>-162</v>
      </c>
      <c r="K13" s="59">
        <v>3</v>
      </c>
    </row>
    <row r="14" spans="1:11">
      <c r="B14" s="16">
        <v>1969</v>
      </c>
      <c r="C14" s="59"/>
      <c r="D14" s="59"/>
      <c r="E14" s="59">
        <v>357.6</v>
      </c>
      <c r="F14" s="59">
        <v>388.4</v>
      </c>
      <c r="G14" s="59">
        <v>1577.7</v>
      </c>
      <c r="H14" s="59">
        <v>-636.9</v>
      </c>
      <c r="I14" s="59">
        <v>710.6</v>
      </c>
      <c r="J14" s="59">
        <v>151</v>
      </c>
      <c r="K14" s="59">
        <v>-224.7</v>
      </c>
    </row>
    <row r="15" spans="1:11">
      <c r="B15" s="17">
        <v>1970</v>
      </c>
      <c r="C15" s="61">
        <f>D15+E15</f>
        <v>4196</v>
      </c>
      <c r="D15" s="61">
        <v>3820</v>
      </c>
      <c r="E15" s="61">
        <v>376</v>
      </c>
      <c r="F15" s="61">
        <v>762</v>
      </c>
      <c r="G15" s="61">
        <v>1554</v>
      </c>
      <c r="H15" s="61">
        <v>-136</v>
      </c>
      <c r="I15" s="61">
        <v>267</v>
      </c>
      <c r="J15" s="61">
        <v>140</v>
      </c>
      <c r="K15" s="61">
        <v>-271</v>
      </c>
    </row>
    <row r="16" spans="1:11">
      <c r="B16" s="17">
        <v>1971</v>
      </c>
      <c r="C16" s="61">
        <f t="shared" ref="C16:C23" si="0">D16+E16</f>
        <v>4280</v>
      </c>
      <c r="D16" s="61">
        <v>3935</v>
      </c>
      <c r="E16" s="61">
        <v>345</v>
      </c>
      <c r="F16" s="61">
        <v>592</v>
      </c>
      <c r="G16" s="61">
        <v>1982</v>
      </c>
      <c r="H16" s="61">
        <v>-815</v>
      </c>
      <c r="I16" s="61">
        <v>507</v>
      </c>
      <c r="J16" s="61">
        <v>203</v>
      </c>
      <c r="K16" s="61">
        <v>105</v>
      </c>
    </row>
    <row r="17" spans="2:11">
      <c r="B17" s="17">
        <v>1972</v>
      </c>
      <c r="C17" s="61">
        <f t="shared" si="0"/>
        <v>4546</v>
      </c>
      <c r="D17" s="61">
        <v>4208</v>
      </c>
      <c r="E17" s="61">
        <v>338</v>
      </c>
      <c r="F17" s="61">
        <v>558</v>
      </c>
      <c r="G17" s="61">
        <v>2525</v>
      </c>
      <c r="H17" s="61">
        <v>-1410</v>
      </c>
      <c r="I17" s="61">
        <v>1033</v>
      </c>
      <c r="J17" s="61">
        <v>275</v>
      </c>
      <c r="K17" s="61">
        <v>102</v>
      </c>
    </row>
    <row r="18" spans="2:11">
      <c r="B18" s="17">
        <v>1973</v>
      </c>
      <c r="C18" s="61">
        <f t="shared" si="0"/>
        <v>5124</v>
      </c>
      <c r="D18" s="61">
        <v>4536</v>
      </c>
      <c r="E18" s="61">
        <v>588</v>
      </c>
      <c r="F18" s="61">
        <v>375</v>
      </c>
      <c r="G18" s="61">
        <v>2885</v>
      </c>
      <c r="H18" s="61">
        <v>-1611</v>
      </c>
      <c r="I18" s="61">
        <v>1618</v>
      </c>
      <c r="J18" s="61">
        <v>47</v>
      </c>
      <c r="K18" s="61">
        <v>-54</v>
      </c>
    </row>
    <row r="19" spans="2:11">
      <c r="B19" s="17">
        <v>1974</v>
      </c>
      <c r="C19" s="61">
        <f t="shared" si="0"/>
        <v>7112</v>
      </c>
      <c r="D19" s="61">
        <v>6511</v>
      </c>
      <c r="E19" s="61">
        <v>601</v>
      </c>
      <c r="F19" s="61">
        <v>549</v>
      </c>
      <c r="G19" s="61">
        <v>3958</v>
      </c>
      <c r="H19" s="61">
        <v>-1967</v>
      </c>
      <c r="I19" s="61">
        <v>2236</v>
      </c>
      <c r="J19" s="61">
        <v>44</v>
      </c>
      <c r="K19" s="61">
        <v>-313</v>
      </c>
    </row>
    <row r="20" spans="2:11">
      <c r="B20" s="17">
        <v>1975</v>
      </c>
      <c r="C20" s="61">
        <f t="shared" si="0"/>
        <v>8664.9</v>
      </c>
      <c r="D20" s="61">
        <v>7348.8</v>
      </c>
      <c r="E20" s="61">
        <v>1316.1</v>
      </c>
      <c r="F20" s="61">
        <v>-155.69999999999999</v>
      </c>
      <c r="G20" s="61">
        <v>11208.9</v>
      </c>
      <c r="H20" s="61">
        <v>-8205.7000000000007</v>
      </c>
      <c r="I20" s="61">
        <v>8055.6</v>
      </c>
      <c r="J20" s="61">
        <v>434.4</v>
      </c>
      <c r="K20" s="61">
        <v>-284.3</v>
      </c>
    </row>
    <row r="21" spans="2:11">
      <c r="B21" s="17">
        <v>1976</v>
      </c>
      <c r="C21" s="61">
        <f t="shared" si="0"/>
        <v>9824.6</v>
      </c>
      <c r="D21" s="61">
        <v>7384.2</v>
      </c>
      <c r="E21" s="61">
        <v>2440.4</v>
      </c>
      <c r="F21" s="61">
        <v>485</v>
      </c>
      <c r="G21" s="61">
        <v>6437.4</v>
      </c>
      <c r="H21" s="61">
        <v>-1473.5</v>
      </c>
      <c r="I21" s="61">
        <v>1390.3</v>
      </c>
      <c r="J21" s="61">
        <v>419.7</v>
      </c>
      <c r="K21" s="61">
        <v>-336.5</v>
      </c>
    </row>
    <row r="22" spans="2:11">
      <c r="B22" s="17">
        <v>1977</v>
      </c>
      <c r="C22" s="61">
        <f t="shared" si="0"/>
        <v>13643.800000000001</v>
      </c>
      <c r="D22" s="61">
        <v>11206.2</v>
      </c>
      <c r="E22" s="61">
        <v>2437.6</v>
      </c>
      <c r="F22" s="61">
        <v>-1426</v>
      </c>
      <c r="G22" s="61">
        <v>7489.1</v>
      </c>
      <c r="H22" s="61">
        <v>-4187.1000000000004</v>
      </c>
      <c r="I22" s="61">
        <v>4027</v>
      </c>
      <c r="J22" s="61">
        <v>430.7</v>
      </c>
      <c r="K22" s="61">
        <v>-270.60000000000002</v>
      </c>
    </row>
    <row r="23" spans="2:11">
      <c r="B23" s="17">
        <v>1978</v>
      </c>
      <c r="C23" s="61">
        <f t="shared" si="0"/>
        <v>16831.400000000001</v>
      </c>
      <c r="D23" s="61">
        <v>14190.1</v>
      </c>
      <c r="E23" s="61">
        <v>2641.3</v>
      </c>
      <c r="F23" s="61">
        <v>-550.6</v>
      </c>
      <c r="G23" s="61">
        <v>11339.5</v>
      </c>
      <c r="H23" s="61">
        <v>-6438.3</v>
      </c>
      <c r="I23" s="61">
        <v>6030.4</v>
      </c>
      <c r="J23" s="61">
        <v>566.5</v>
      </c>
      <c r="K23" s="61">
        <v>-158.6</v>
      </c>
    </row>
    <row r="24" spans="2:11">
      <c r="B24" s="16">
        <v>1979</v>
      </c>
      <c r="C24" s="59"/>
      <c r="D24" s="59"/>
      <c r="E24" s="59"/>
      <c r="F24" s="59"/>
      <c r="G24" s="59"/>
      <c r="H24" s="59"/>
      <c r="I24" s="59"/>
      <c r="J24" s="59"/>
      <c r="K24" s="59"/>
    </row>
    <row r="25" spans="2:11">
      <c r="B25" s="17">
        <v>1980</v>
      </c>
      <c r="C25" s="59">
        <v>30420</v>
      </c>
      <c r="D25" s="59">
        <v>20756</v>
      </c>
      <c r="E25" s="59">
        <v>10382</v>
      </c>
      <c r="F25" s="59">
        <v>-121</v>
      </c>
      <c r="G25" s="59">
        <v>11700</v>
      </c>
      <c r="H25" s="59">
        <v>-582</v>
      </c>
      <c r="I25" s="59">
        <v>1925</v>
      </c>
      <c r="J25" s="62"/>
      <c r="K25" s="62"/>
    </row>
    <row r="26" spans="2:11">
      <c r="B26" s="17">
        <v>1981</v>
      </c>
      <c r="C26" s="59">
        <v>35272</v>
      </c>
      <c r="D26" s="59">
        <v>26123</v>
      </c>
      <c r="E26" s="59">
        <v>10051</v>
      </c>
      <c r="F26" s="59">
        <v>-371</v>
      </c>
      <c r="G26" s="59">
        <v>13035</v>
      </c>
      <c r="H26" s="59">
        <v>-1968</v>
      </c>
      <c r="I26" s="59">
        <v>4119</v>
      </c>
      <c r="J26" s="62"/>
      <c r="K26" s="62"/>
    </row>
    <row r="27" spans="2:11">
      <c r="B27" s="17">
        <v>1982</v>
      </c>
      <c r="C27" s="59">
        <v>74418</v>
      </c>
      <c r="D27" s="59">
        <v>64673</v>
      </c>
      <c r="E27" s="59">
        <v>10582</v>
      </c>
      <c r="F27" s="59">
        <v>2324</v>
      </c>
      <c r="G27" s="59">
        <v>19272</v>
      </c>
      <c r="H27" s="59">
        <v>-5542</v>
      </c>
      <c r="I27" s="59">
        <v>7503</v>
      </c>
      <c r="J27" s="62"/>
      <c r="K27" s="62"/>
    </row>
    <row r="28" spans="2:11">
      <c r="B28" s="17">
        <v>1983</v>
      </c>
      <c r="C28" s="59">
        <v>78279</v>
      </c>
      <c r="D28" s="59">
        <v>66338</v>
      </c>
      <c r="E28" s="59">
        <v>12907</v>
      </c>
      <c r="F28" s="59">
        <v>3168</v>
      </c>
      <c r="G28" s="59">
        <v>36521</v>
      </c>
      <c r="H28" s="59">
        <v>-19901</v>
      </c>
      <c r="I28" s="59">
        <v>22319</v>
      </c>
      <c r="J28" s="62"/>
      <c r="K28" s="62"/>
    </row>
    <row r="29" spans="2:11">
      <c r="B29" s="17">
        <v>1984</v>
      </c>
      <c r="C29" s="59">
        <v>103849</v>
      </c>
      <c r="D29" s="59">
        <v>92148</v>
      </c>
      <c r="E29" s="59">
        <v>12568</v>
      </c>
      <c r="F29" s="59">
        <v>6931</v>
      </c>
      <c r="G29" s="59">
        <v>49616</v>
      </c>
      <c r="H29" s="59">
        <v>-29069</v>
      </c>
      <c r="I29" s="59">
        <v>30101</v>
      </c>
      <c r="J29" s="62"/>
      <c r="K29" s="62"/>
    </row>
    <row r="30" spans="2:11">
      <c r="B30" s="17">
        <v>1985</v>
      </c>
      <c r="C30" s="59">
        <v>169087</v>
      </c>
      <c r="D30" s="59">
        <v>133994</v>
      </c>
      <c r="E30" s="59">
        <v>35977</v>
      </c>
      <c r="F30" s="59">
        <v>3039</v>
      </c>
      <c r="G30" s="59">
        <v>49986</v>
      </c>
      <c r="H30" s="59">
        <v>-9703</v>
      </c>
      <c r="I30" s="59">
        <v>2359</v>
      </c>
      <c r="J30" s="62"/>
      <c r="K30" s="62"/>
    </row>
    <row r="31" spans="2:11">
      <c r="B31" s="17">
        <v>1986</v>
      </c>
      <c r="C31" s="59">
        <v>182339</v>
      </c>
      <c r="D31" s="59">
        <v>155938</v>
      </c>
      <c r="E31" s="59">
        <v>28074</v>
      </c>
      <c r="F31" s="59">
        <v>11732</v>
      </c>
      <c r="G31" s="59">
        <v>71779</v>
      </c>
      <c r="H31" s="59">
        <v>-30950</v>
      </c>
      <c r="I31" s="59">
        <v>43936</v>
      </c>
      <c r="J31" s="62"/>
      <c r="K31" s="62"/>
    </row>
    <row r="32" spans="2:11">
      <c r="B32" s="17">
        <v>1987</v>
      </c>
      <c r="C32" s="59">
        <v>264765</v>
      </c>
      <c r="D32" s="59">
        <v>237410</v>
      </c>
      <c r="E32" s="59">
        <v>28217</v>
      </c>
      <c r="F32" s="59">
        <v>18736</v>
      </c>
      <c r="G32" s="59">
        <v>100093</v>
      </c>
      <c r="H32" s="59">
        <v>-49421</v>
      </c>
      <c r="I32" s="59">
        <v>8299</v>
      </c>
      <c r="J32" s="62"/>
      <c r="K32" s="62"/>
    </row>
    <row r="33" spans="2:11">
      <c r="B33" s="17">
        <v>1988</v>
      </c>
      <c r="C33" s="59">
        <v>359721</v>
      </c>
      <c r="D33" s="59">
        <v>316101</v>
      </c>
      <c r="E33" s="59">
        <v>46393</v>
      </c>
      <c r="F33" s="59">
        <v>25260</v>
      </c>
      <c r="G33" s="59">
        <v>147013</v>
      </c>
      <c r="H33" s="59">
        <v>-74594</v>
      </c>
      <c r="I33" s="59">
        <v>66650</v>
      </c>
      <c r="J33" s="62"/>
      <c r="K33" s="62"/>
    </row>
    <row r="34" spans="2:11">
      <c r="B34" s="17">
        <v>1989</v>
      </c>
      <c r="C34" s="59">
        <v>447355</v>
      </c>
      <c r="D34" s="59">
        <v>470181</v>
      </c>
      <c r="E34" s="59">
        <v>-8493</v>
      </c>
      <c r="F34" s="59">
        <v>51659</v>
      </c>
      <c r="G34" s="59">
        <v>232644</v>
      </c>
      <c r="H34" s="59">
        <v>-187677</v>
      </c>
      <c r="I34" s="59">
        <v>128639</v>
      </c>
      <c r="J34" s="62"/>
      <c r="K34" s="62"/>
    </row>
    <row r="35" spans="2:11">
      <c r="B35" s="16" t="s">
        <v>81</v>
      </c>
      <c r="C35" s="59">
        <v>669304</v>
      </c>
      <c r="D35" s="59">
        <v>504344</v>
      </c>
      <c r="E35" s="59">
        <f>C35-D35</f>
        <v>164960</v>
      </c>
      <c r="F35" s="59">
        <v>36394</v>
      </c>
      <c r="G35" s="59">
        <v>96495</v>
      </c>
      <c r="H35" s="59">
        <v>104859</v>
      </c>
      <c r="I35" s="59">
        <v>-16339</v>
      </c>
      <c r="J35" s="59">
        <v>-88520</v>
      </c>
      <c r="K35" s="59"/>
    </row>
    <row r="36" spans="2:11">
      <c r="B36" s="16">
        <v>1991</v>
      </c>
      <c r="C36" s="59">
        <v>819331</v>
      </c>
      <c r="D36" s="59">
        <v>604742</v>
      </c>
      <c r="E36" s="59">
        <f t="shared" ref="E36:E43" si="1">C36-D36</f>
        <v>214589</v>
      </c>
      <c r="F36" s="59">
        <v>11108</v>
      </c>
      <c r="G36" s="59">
        <v>97791</v>
      </c>
      <c r="H36" s="59">
        <v>127906</v>
      </c>
      <c r="I36" s="59">
        <v>-53655</v>
      </c>
      <c r="J36" s="59">
        <v>-74251</v>
      </c>
      <c r="K36" s="59"/>
    </row>
    <row r="37" spans="2:11">
      <c r="B37" s="16">
        <v>1992</v>
      </c>
      <c r="C37" s="59">
        <v>897623</v>
      </c>
      <c r="D37" s="59">
        <v>703964</v>
      </c>
      <c r="E37" s="59">
        <f t="shared" si="1"/>
        <v>193659</v>
      </c>
      <c r="F37" s="59">
        <v>12009</v>
      </c>
      <c r="G37" s="59">
        <v>117097</v>
      </c>
      <c r="H37" s="59">
        <v>88571</v>
      </c>
      <c r="I37" s="59">
        <v>-76739</v>
      </c>
      <c r="J37" s="59">
        <v>-11832</v>
      </c>
      <c r="K37" s="59"/>
    </row>
    <row r="38" spans="2:11">
      <c r="B38" s="16">
        <v>1993</v>
      </c>
      <c r="C38" s="59">
        <v>1028895</v>
      </c>
      <c r="D38" s="59">
        <v>796180</v>
      </c>
      <c r="E38" s="59">
        <f t="shared" si="1"/>
        <v>232715</v>
      </c>
      <c r="F38" s="59">
        <v>21948</v>
      </c>
      <c r="G38" s="59">
        <v>159227</v>
      </c>
      <c r="H38" s="59">
        <v>95436</v>
      </c>
      <c r="I38" s="59">
        <v>-33509</v>
      </c>
      <c r="J38" s="59">
        <v>-61927</v>
      </c>
      <c r="K38" s="59"/>
    </row>
    <row r="39" spans="2:11">
      <c r="B39" s="16">
        <v>1994</v>
      </c>
      <c r="C39" s="59">
        <v>1266113</v>
      </c>
      <c r="D39" s="59">
        <v>1041561</v>
      </c>
      <c r="E39" s="59">
        <f t="shared" si="1"/>
        <v>224552</v>
      </c>
      <c r="F39" s="59">
        <v>8503</v>
      </c>
      <c r="G39" s="59">
        <v>173884</v>
      </c>
      <c r="H39" s="59">
        <v>59172</v>
      </c>
      <c r="I39" s="59">
        <v>-73086</v>
      </c>
      <c r="J39" s="59">
        <v>13914</v>
      </c>
      <c r="K39" s="59"/>
    </row>
    <row r="40" spans="2:11">
      <c r="B40" s="16">
        <v>1995</v>
      </c>
      <c r="C40" s="59">
        <v>1534880</v>
      </c>
      <c r="D40" s="59">
        <v>1146076</v>
      </c>
      <c r="E40" s="59">
        <f t="shared" si="1"/>
        <v>388804</v>
      </c>
      <c r="F40" s="59">
        <v>4147</v>
      </c>
      <c r="G40" s="59">
        <v>179548</v>
      </c>
      <c r="H40" s="59">
        <v>213403</v>
      </c>
      <c r="I40" s="59">
        <v>-62955</v>
      </c>
      <c r="J40" s="59">
        <v>-150448</v>
      </c>
      <c r="K40" s="59"/>
    </row>
    <row r="41" spans="2:11">
      <c r="B41" s="16">
        <v>1996</v>
      </c>
      <c r="C41" s="59">
        <v>1703490</v>
      </c>
      <c r="D41" s="59">
        <v>1303648</v>
      </c>
      <c r="E41" s="59">
        <f t="shared" si="1"/>
        <v>399842</v>
      </c>
      <c r="F41" s="59">
        <v>1443</v>
      </c>
      <c r="G41" s="59">
        <v>211601</v>
      </c>
      <c r="H41" s="59">
        <v>189684</v>
      </c>
      <c r="I41" s="59">
        <v>-58861</v>
      </c>
      <c r="J41" s="59">
        <v>-130823</v>
      </c>
      <c r="K41" s="59"/>
    </row>
    <row r="42" spans="2:11">
      <c r="B42" s="16">
        <v>1997</v>
      </c>
      <c r="C42" s="59">
        <v>1964783</v>
      </c>
      <c r="D42" s="59">
        <v>1466944</v>
      </c>
      <c r="E42" s="59">
        <f t="shared" si="1"/>
        <v>497839</v>
      </c>
      <c r="F42" s="59">
        <v>1405</v>
      </c>
      <c r="G42" s="59">
        <v>552596</v>
      </c>
      <c r="H42" s="59">
        <v>-53352</v>
      </c>
      <c r="I42" s="59">
        <v>29576</v>
      </c>
      <c r="J42" s="59">
        <v>23776</v>
      </c>
      <c r="K42" s="59"/>
    </row>
    <row r="43" spans="2:11">
      <c r="B43" s="16" t="s">
        <v>82</v>
      </c>
      <c r="C43" s="59">
        <v>2292921</v>
      </c>
      <c r="D43" s="59">
        <v>1402899</v>
      </c>
      <c r="E43" s="59">
        <f t="shared" si="1"/>
        <v>890022</v>
      </c>
      <c r="F43" s="59">
        <v>1296</v>
      </c>
      <c r="G43" s="59">
        <v>807644</v>
      </c>
      <c r="H43" s="59">
        <v>83674</v>
      </c>
      <c r="I43" s="59">
        <v>49337</v>
      </c>
      <c r="J43" s="59">
        <v>-133011</v>
      </c>
      <c r="K43" s="59"/>
    </row>
    <row r="44" spans="2:11">
      <c r="B44" s="16">
        <v>1999</v>
      </c>
      <c r="C44" s="59">
        <v>2410780.9485769998</v>
      </c>
      <c r="D44" s="59">
        <v>1161772.3199</v>
      </c>
      <c r="E44" s="59">
        <f>C44-D44</f>
        <v>1249008.6286769998</v>
      </c>
      <c r="F44" s="59">
        <v>6025.2550789999996</v>
      </c>
      <c r="G44" s="59">
        <v>1316063.5820000002</v>
      </c>
      <c r="H44" s="59">
        <v>-61029.698244000319</v>
      </c>
      <c r="I44" s="59">
        <v>49893.728000000032</v>
      </c>
      <c r="J44" s="59">
        <v>11135.970244000287</v>
      </c>
      <c r="K44" s="59">
        <v>11701.018244000288</v>
      </c>
    </row>
    <row r="45" spans="2:11">
      <c r="B45" s="16">
        <v>2000</v>
      </c>
      <c r="C45" s="59">
        <v>3160146.0829999996</v>
      </c>
      <c r="D45" s="59">
        <v>1239753.5024000001</v>
      </c>
      <c r="E45" s="59">
        <f t="shared" ref="E45:E59" si="2">C45-D45</f>
        <v>1920392.5805999995</v>
      </c>
      <c r="F45" s="59">
        <v>518.89499999999998</v>
      </c>
      <c r="G45" s="59">
        <v>1706929.3047999998</v>
      </c>
      <c r="H45" s="59">
        <v>213982.17079999996</v>
      </c>
      <c r="I45" s="59">
        <v>86070.964000000022</v>
      </c>
      <c r="J45" s="59">
        <v>-300053.1348</v>
      </c>
      <c r="K45" s="59">
        <v>-300010.44179999997</v>
      </c>
    </row>
    <row r="46" spans="2:11">
      <c r="B46" s="16">
        <v>2001</v>
      </c>
      <c r="C46" s="59">
        <v>3373003.2463000007</v>
      </c>
      <c r="D46" s="59">
        <v>2663917.8585000001</v>
      </c>
      <c r="E46" s="59">
        <f t="shared" si="2"/>
        <v>709085.38780000061</v>
      </c>
      <c r="F46" s="59">
        <v>15000</v>
      </c>
      <c r="G46" s="59">
        <v>381036.05877999996</v>
      </c>
      <c r="H46" s="59">
        <v>343100.54602000071</v>
      </c>
      <c r="I46" s="59">
        <v>39449.97</v>
      </c>
      <c r="J46" s="59">
        <v>-246458.56200000001</v>
      </c>
      <c r="K46" s="59">
        <v>0</v>
      </c>
    </row>
    <row r="47" spans="2:11">
      <c r="B47" s="16">
        <v>2002</v>
      </c>
      <c r="C47" s="59">
        <v>3328960.142</v>
      </c>
      <c r="D47" s="59">
        <v>2824156.3840999994</v>
      </c>
      <c r="E47" s="59">
        <f t="shared" si="2"/>
        <v>504803.75790000055</v>
      </c>
      <c r="F47" s="59">
        <v>16316.321000000002</v>
      </c>
      <c r="G47" s="59">
        <v>452942.70300000004</v>
      </c>
      <c r="H47" s="59">
        <v>68177.375900000334</v>
      </c>
      <c r="I47" s="59">
        <v>-44947.890000000014</v>
      </c>
      <c r="J47" s="59">
        <v>-49.812999999999995</v>
      </c>
      <c r="K47" s="59">
        <v>-23179.672900000322</v>
      </c>
    </row>
    <row r="48" spans="2:11">
      <c r="B48" s="16">
        <v>2003</v>
      </c>
      <c r="C48" s="59">
        <v>4046918.6566059995</v>
      </c>
      <c r="D48" s="59">
        <v>3377463.2241789997</v>
      </c>
      <c r="E48" s="59">
        <f t="shared" si="2"/>
        <v>669455.43242699979</v>
      </c>
      <c r="F48" s="59">
        <v>1376.6670000000001</v>
      </c>
      <c r="G48" s="59">
        <v>337743.6378020001</v>
      </c>
      <c r="H48" s="59">
        <v>332888.88089799974</v>
      </c>
      <c r="I48" s="59">
        <v>-29515.299999999988</v>
      </c>
      <c r="J48" s="59">
        <v>-117251.98686099998</v>
      </c>
      <c r="K48" s="59">
        <v>0</v>
      </c>
    </row>
    <row r="49" spans="2:11">
      <c r="B49" s="16">
        <v>2004</v>
      </c>
      <c r="C49" s="59">
        <v>5043513.1236567404</v>
      </c>
      <c r="D49" s="59">
        <v>4517886.6034348989</v>
      </c>
      <c r="E49" s="59">
        <f t="shared" si="2"/>
        <v>525626.52022184152</v>
      </c>
      <c r="F49" s="59">
        <v>1728.476784</v>
      </c>
      <c r="G49" s="59">
        <v>386621.17125460005</v>
      </c>
      <c r="H49" s="59">
        <v>140168.53053524159</v>
      </c>
      <c r="I49" s="59">
        <v>-131608.22244900002</v>
      </c>
      <c r="J49" s="59">
        <v>65684.347011710022</v>
      </c>
      <c r="K49" s="59">
        <v>-181598.77442869006</v>
      </c>
    </row>
    <row r="50" spans="2:11">
      <c r="B50" s="16">
        <v>2005</v>
      </c>
      <c r="C50" s="59">
        <v>6041573.2567921001</v>
      </c>
      <c r="D50" s="59">
        <v>5456413.8614651999</v>
      </c>
      <c r="E50" s="59">
        <f t="shared" si="2"/>
        <v>585159.3953269003</v>
      </c>
      <c r="F50" s="59">
        <v>2876.0659560000004</v>
      </c>
      <c r="G50" s="59">
        <v>388670.36798099999</v>
      </c>
      <c r="H50" s="59">
        <v>198677.61822190043</v>
      </c>
      <c r="I50" s="59">
        <v>-141374.10401500005</v>
      </c>
      <c r="J50" s="59">
        <v>-222228.43776509998</v>
      </c>
      <c r="K50" s="59">
        <v>-28980.563453100011</v>
      </c>
    </row>
    <row r="51" spans="2:11">
      <c r="B51" s="16">
        <v>2006</v>
      </c>
      <c r="C51" s="59">
        <v>6475177.2668944001</v>
      </c>
      <c r="D51" s="59">
        <v>5533002.0040368363</v>
      </c>
      <c r="E51" s="59">
        <f t="shared" si="2"/>
        <v>942175.26285756379</v>
      </c>
      <c r="F51" s="59">
        <v>3.2989480000000002</v>
      </c>
      <c r="G51" s="59">
        <v>336587.42353949999</v>
      </c>
      <c r="H51" s="59">
        <v>604546.5072820643</v>
      </c>
      <c r="I51" s="59">
        <v>-183807.3220442</v>
      </c>
      <c r="J51" s="59">
        <v>-524324.75089079002</v>
      </c>
      <c r="K51" s="59">
        <v>-266065.65604678995</v>
      </c>
    </row>
    <row r="52" spans="2:11">
      <c r="B52" s="16">
        <v>2007</v>
      </c>
      <c r="C52" s="59">
        <v>5486192.3763900008</v>
      </c>
      <c r="D52" s="59">
        <v>4945101.0731849996</v>
      </c>
      <c r="E52" s="59">
        <f t="shared" si="2"/>
        <v>541091.30320500117</v>
      </c>
      <c r="F52" s="59">
        <v>2000.0308459999997</v>
      </c>
      <c r="G52" s="59">
        <v>348695.11067699996</v>
      </c>
      <c r="H52" s="59">
        <v>194636.15886600036</v>
      </c>
      <c r="I52" s="59">
        <v>-148617.08817900001</v>
      </c>
      <c r="J52" s="59">
        <v>-57541.172729994869</v>
      </c>
      <c r="K52" s="59">
        <v>-328632.14629999502</v>
      </c>
    </row>
    <row r="53" spans="2:11">
      <c r="B53" s="16">
        <v>2008</v>
      </c>
      <c r="C53" s="59">
        <v>6661734.8715240005</v>
      </c>
      <c r="D53" s="59">
        <v>6272261.4487690013</v>
      </c>
      <c r="E53" s="59">
        <f t="shared" si="2"/>
        <v>389473.42275499925</v>
      </c>
      <c r="F53" s="59">
        <v>5004.5513719999999</v>
      </c>
      <c r="G53" s="59">
        <v>330412.16824800003</v>
      </c>
      <c r="H53" s="59">
        <v>63849.559054999612</v>
      </c>
      <c r="I53" s="59">
        <v>-118302.67404599999</v>
      </c>
      <c r="J53" s="59">
        <v>297141.88638610009</v>
      </c>
      <c r="K53" s="59">
        <v>-298654.41275790008</v>
      </c>
    </row>
    <row r="54" spans="2:11">
      <c r="B54" s="16">
        <v>2009</v>
      </c>
      <c r="C54" s="59">
        <v>6290439.5362209994</v>
      </c>
      <c r="D54" s="59">
        <v>6632083.4020269997</v>
      </c>
      <c r="E54" s="59">
        <f t="shared" si="2"/>
        <v>-341643.86580600031</v>
      </c>
      <c r="F54" s="59">
        <v>136039.039254</v>
      </c>
      <c r="G54" s="59">
        <v>637052.42178099998</v>
      </c>
      <c r="H54" s="59">
        <v>-842497.797487</v>
      </c>
      <c r="I54" s="59">
        <v>418.52964299998712</v>
      </c>
      <c r="J54" s="59">
        <v>-102368.36006000001</v>
      </c>
      <c r="K54" s="59">
        <v>0</v>
      </c>
    </row>
    <row r="55" spans="2:11">
      <c r="B55" s="16">
        <v>2010</v>
      </c>
      <c r="C55" s="59">
        <v>6131614.8159329994</v>
      </c>
      <c r="D55" s="59">
        <v>6019685.4708559988</v>
      </c>
      <c r="E55" s="59">
        <f t="shared" si="2"/>
        <v>111929.34507700056</v>
      </c>
      <c r="F55" s="59">
        <v>4388.9874300000001</v>
      </c>
      <c r="G55" s="59">
        <v>994771.59142499999</v>
      </c>
      <c r="H55" s="59">
        <v>-878499.9566979995</v>
      </c>
      <c r="I55" s="59">
        <v>21625.982839999982</v>
      </c>
      <c r="J55" s="59">
        <v>-52</v>
      </c>
      <c r="K55" s="59">
        <v>0</v>
      </c>
    </row>
    <row r="56" spans="2:11">
      <c r="B56" s="16">
        <v>2011</v>
      </c>
      <c r="C56" s="59">
        <v>7754913.813529999</v>
      </c>
      <c r="D56" s="59">
        <v>6961518.8455619989</v>
      </c>
      <c r="E56" s="59">
        <f t="shared" si="2"/>
        <v>793394.9679680001</v>
      </c>
      <c r="F56" s="59">
        <v>8839.245449</v>
      </c>
      <c r="G56" s="59">
        <v>734166.31700900011</v>
      </c>
      <c r="H56" s="59">
        <v>68016.107111000456</v>
      </c>
      <c r="I56" s="59">
        <v>-73873.083379000018</v>
      </c>
      <c r="J56" s="59">
        <v>-92727.496673000001</v>
      </c>
      <c r="K56" s="59">
        <v>0</v>
      </c>
    </row>
    <row r="57" spans="2:11">
      <c r="B57" s="16">
        <v>2012</v>
      </c>
      <c r="C57" s="59">
        <v>7965429.3594570002</v>
      </c>
      <c r="D57" s="59">
        <v>7655676.9635910019</v>
      </c>
      <c r="E57" s="59">
        <f t="shared" si="2"/>
        <v>309752.39586599823</v>
      </c>
      <c r="F57" s="59">
        <v>148450.64814900002</v>
      </c>
      <c r="G57" s="59">
        <v>816465.57169900008</v>
      </c>
      <c r="H57" s="59">
        <v>-358336.15993500315</v>
      </c>
      <c r="I57" s="59">
        <v>-82294.712764000011</v>
      </c>
      <c r="J57" s="59">
        <v>-22333.530318999998</v>
      </c>
      <c r="K57" s="59">
        <v>0</v>
      </c>
    </row>
    <row r="58" spans="2:11">
      <c r="B58" s="16">
        <v>2013</v>
      </c>
      <c r="C58" s="59">
        <v>7696110.3273700001</v>
      </c>
      <c r="D58" s="59">
        <v>7026219.2032020008</v>
      </c>
      <c r="E58" s="59">
        <f t="shared" si="2"/>
        <v>669891.12416799925</v>
      </c>
      <c r="F58" s="59">
        <v>244817.10099199996</v>
      </c>
      <c r="G58" s="59">
        <v>891151.21013100003</v>
      </c>
      <c r="H58" s="59">
        <v>22633.015028999187</v>
      </c>
      <c r="I58" s="59">
        <v>-34737.150117999998</v>
      </c>
      <c r="J58" s="59">
        <v>-10185.854337000001</v>
      </c>
      <c r="K58" s="59">
        <v>0</v>
      </c>
    </row>
    <row r="59" spans="2:11">
      <c r="B59" s="16">
        <v>2014</v>
      </c>
      <c r="C59" s="59">
        <v>7543747.3037940012</v>
      </c>
      <c r="D59" s="59">
        <v>7152908.0989889996</v>
      </c>
      <c r="E59" s="59">
        <f t="shared" si="2"/>
        <v>390839.20480500162</v>
      </c>
      <c r="F59" s="59">
        <v>974641.79492899985</v>
      </c>
      <c r="G59" s="59">
        <v>1345242.7451799999</v>
      </c>
      <c r="H59" s="59">
        <v>20298.378188000992</v>
      </c>
      <c r="I59" s="59">
        <v>108726.185157</v>
      </c>
      <c r="J59" s="59">
        <v>-672.38331299999982</v>
      </c>
      <c r="K59" s="59">
        <v>0</v>
      </c>
    </row>
    <row r="61" spans="2:11">
      <c r="B61" s="34" t="s">
        <v>53</v>
      </c>
      <c r="C61" s="2" t="s">
        <v>54</v>
      </c>
    </row>
    <row r="62" spans="2:11">
      <c r="B62" s="34" t="s">
        <v>55</v>
      </c>
      <c r="C62" s="2" t="s">
        <v>56</v>
      </c>
    </row>
    <row r="63" spans="2:11">
      <c r="B63" s="19" t="s">
        <v>57</v>
      </c>
      <c r="C63" s="2" t="s">
        <v>83</v>
      </c>
    </row>
    <row r="64" spans="2:11">
      <c r="C64" s="2"/>
    </row>
    <row r="65" spans="2:3">
      <c r="B65" s="19" t="s">
        <v>84</v>
      </c>
      <c r="C65" s="2"/>
    </row>
    <row r="66" spans="2:3">
      <c r="B66" s="19" t="s">
        <v>59</v>
      </c>
      <c r="C66" s="2" t="s">
        <v>85</v>
      </c>
    </row>
    <row r="67" spans="2:3">
      <c r="B67" s="19" t="s">
        <v>60</v>
      </c>
      <c r="C67" s="2" t="s">
        <v>86</v>
      </c>
    </row>
    <row r="68" spans="2:3">
      <c r="B68" s="19" t="s">
        <v>61</v>
      </c>
      <c r="C68" s="2" t="s">
        <v>87</v>
      </c>
    </row>
    <row r="69" spans="2:3">
      <c r="B69" s="19" t="s">
        <v>62</v>
      </c>
    </row>
  </sheetData>
  <mergeCells count="1">
    <mergeCell ref="B3:K3"/>
  </mergeCells>
  <hyperlinks>
    <hyperlink ref="A1" location="Índice!A1" display="Índice"/>
  </hyperlink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9" tint="0.39997558519241921"/>
  </sheetPr>
  <dimension ref="A1:J71"/>
  <sheetViews>
    <sheetView workbookViewId="0">
      <selection activeCell="H7" sqref="H7:I59"/>
    </sheetView>
  </sheetViews>
  <sheetFormatPr defaultColWidth="11.44140625" defaultRowHeight="10.199999999999999"/>
  <cols>
    <col min="1" max="2" width="11.44140625" style="1"/>
    <col min="3" max="10" width="24" style="20" customWidth="1"/>
    <col min="11" max="16384" width="11.44140625" style="1"/>
  </cols>
  <sheetData>
    <row r="1" spans="1:10" ht="14.4">
      <c r="A1" s="63" t="s">
        <v>166</v>
      </c>
    </row>
    <row r="3" spans="1:10" ht="15" customHeight="1">
      <c r="B3" s="448" t="s">
        <v>95</v>
      </c>
      <c r="C3" s="448"/>
      <c r="D3" s="448"/>
      <c r="E3" s="448"/>
      <c r="F3" s="448"/>
      <c r="G3" s="448"/>
      <c r="H3" s="448"/>
      <c r="I3" s="448"/>
      <c r="J3" s="448"/>
    </row>
    <row r="4" spans="1:10" ht="20.399999999999999">
      <c r="B4" s="8" t="s">
        <v>88</v>
      </c>
      <c r="C4" s="8" t="s">
        <v>18</v>
      </c>
      <c r="D4" s="8" t="s">
        <v>20</v>
      </c>
      <c r="E4" s="8" t="s">
        <v>22</v>
      </c>
      <c r="F4" s="8" t="s">
        <v>23</v>
      </c>
      <c r="G4" s="8" t="s">
        <v>37</v>
      </c>
      <c r="H4" s="8" t="s">
        <v>40</v>
      </c>
      <c r="I4" s="8" t="s">
        <v>44</v>
      </c>
      <c r="J4" s="8" t="s">
        <v>52</v>
      </c>
    </row>
    <row r="5" spans="1:10">
      <c r="B5" s="18">
        <v>1960</v>
      </c>
      <c r="C5" s="58"/>
      <c r="D5" s="58"/>
      <c r="E5" s="58"/>
      <c r="F5" s="58"/>
      <c r="G5" s="58"/>
      <c r="H5" s="58"/>
      <c r="I5" s="58"/>
      <c r="J5" s="58"/>
    </row>
    <row r="6" spans="1:10">
      <c r="B6" s="18">
        <v>1961</v>
      </c>
      <c r="C6" s="58"/>
      <c r="D6" s="58"/>
      <c r="E6" s="58"/>
      <c r="F6" s="58"/>
      <c r="G6" s="58"/>
      <c r="H6" s="58"/>
      <c r="I6" s="58"/>
      <c r="J6" s="58"/>
    </row>
    <row r="7" spans="1:10">
      <c r="B7" s="18">
        <v>1962</v>
      </c>
      <c r="C7" s="58">
        <v>5405</v>
      </c>
      <c r="D7" s="58">
        <v>3760</v>
      </c>
      <c r="E7" s="58">
        <v>21</v>
      </c>
      <c r="F7" s="58">
        <v>1601</v>
      </c>
      <c r="G7" s="58">
        <v>65</v>
      </c>
      <c r="H7" s="58">
        <v>405</v>
      </c>
      <c r="I7" s="58">
        <v>-549</v>
      </c>
      <c r="J7" s="58">
        <v>78</v>
      </c>
    </row>
    <row r="8" spans="1:10">
      <c r="B8" s="18">
        <v>1963</v>
      </c>
      <c r="C8" s="58">
        <v>5535</v>
      </c>
      <c r="D8" s="58">
        <v>4632</v>
      </c>
      <c r="E8" s="58">
        <v>31</v>
      </c>
      <c r="F8" s="58">
        <v>1461</v>
      </c>
      <c r="G8" s="58">
        <v>-527</v>
      </c>
      <c r="H8" s="58">
        <v>272</v>
      </c>
      <c r="I8" s="58">
        <v>252</v>
      </c>
      <c r="J8" s="58">
        <v>3</v>
      </c>
    </row>
    <row r="9" spans="1:10">
      <c r="B9" s="18">
        <v>1964</v>
      </c>
      <c r="C9" s="58">
        <v>5940</v>
      </c>
      <c r="D9" s="58">
        <v>4965</v>
      </c>
      <c r="E9" s="58">
        <v>11</v>
      </c>
      <c r="F9" s="58">
        <v>1567</v>
      </c>
      <c r="G9" s="58">
        <v>-581</v>
      </c>
      <c r="H9" s="58">
        <v>261</v>
      </c>
      <c r="I9" s="58">
        <v>295</v>
      </c>
      <c r="J9" s="58">
        <v>25</v>
      </c>
    </row>
    <row r="10" spans="1:10">
      <c r="B10" s="18">
        <v>1965</v>
      </c>
      <c r="C10" s="58">
        <v>7533</v>
      </c>
      <c r="D10" s="58">
        <v>5428</v>
      </c>
      <c r="E10" s="58">
        <v>73</v>
      </c>
      <c r="F10" s="58">
        <v>1884</v>
      </c>
      <c r="G10" s="58">
        <v>294</v>
      </c>
      <c r="H10" s="58">
        <v>243</v>
      </c>
      <c r="I10" s="58">
        <v>-374</v>
      </c>
      <c r="J10" s="58">
        <v>-163</v>
      </c>
    </row>
    <row r="11" spans="1:10">
      <c r="B11" s="18">
        <v>1966</v>
      </c>
      <c r="C11" s="58">
        <v>7696</v>
      </c>
      <c r="D11" s="58">
        <v>5913</v>
      </c>
      <c r="E11" s="58">
        <v>326</v>
      </c>
      <c r="F11" s="58">
        <v>3030</v>
      </c>
      <c r="G11" s="58">
        <v>-921</v>
      </c>
      <c r="H11" s="58">
        <v>1299</v>
      </c>
      <c r="I11" s="58">
        <v>-83</v>
      </c>
      <c r="J11" s="58">
        <v>-294</v>
      </c>
    </row>
    <row r="12" spans="1:10">
      <c r="B12" s="18">
        <v>1967</v>
      </c>
      <c r="C12" s="58">
        <v>8513</v>
      </c>
      <c r="D12" s="58">
        <v>6630</v>
      </c>
      <c r="E12" s="58">
        <v>457</v>
      </c>
      <c r="F12" s="58">
        <v>4988</v>
      </c>
      <c r="G12" s="58">
        <v>-2648</v>
      </c>
      <c r="H12" s="58">
        <v>2280</v>
      </c>
      <c r="I12" s="58">
        <v>203</v>
      </c>
      <c r="J12" s="58">
        <v>166</v>
      </c>
    </row>
    <row r="13" spans="1:10">
      <c r="B13" s="18">
        <v>1968</v>
      </c>
      <c r="C13" s="58">
        <v>9275</v>
      </c>
      <c r="D13" s="58">
        <v>7395</v>
      </c>
      <c r="E13" s="58">
        <v>786</v>
      </c>
      <c r="F13" s="58">
        <v>5657</v>
      </c>
      <c r="G13" s="58">
        <v>-2991</v>
      </c>
      <c r="H13" s="58">
        <v>2607</v>
      </c>
      <c r="I13" s="58">
        <v>90</v>
      </c>
      <c r="J13" s="58">
        <v>294</v>
      </c>
    </row>
    <row r="14" spans="1:10">
      <c r="B14" s="18">
        <v>1969</v>
      </c>
      <c r="C14" s="58">
        <v>10414.5</v>
      </c>
      <c r="D14" s="58">
        <v>7847.5</v>
      </c>
      <c r="E14" s="58">
        <v>579.9</v>
      </c>
      <c r="F14" s="58">
        <v>3937.8</v>
      </c>
      <c r="G14" s="58">
        <v>-790.9</v>
      </c>
      <c r="H14" s="58">
        <v>1373.7</v>
      </c>
      <c r="I14" s="58">
        <v>-510.6</v>
      </c>
      <c r="J14" s="58">
        <v>-73.599999999999994</v>
      </c>
    </row>
    <row r="15" spans="1:10">
      <c r="B15" s="18">
        <v>1970</v>
      </c>
      <c r="C15" s="58">
        <v>10820</v>
      </c>
      <c r="D15" s="58">
        <v>8719</v>
      </c>
      <c r="E15" s="58">
        <v>969</v>
      </c>
      <c r="F15" s="58">
        <v>3524</v>
      </c>
      <c r="G15" s="58">
        <v>-454</v>
      </c>
      <c r="H15" s="58">
        <v>751</v>
      </c>
      <c r="I15" s="58">
        <v>75</v>
      </c>
      <c r="J15" s="58">
        <v>-372</v>
      </c>
    </row>
    <row r="16" spans="1:10">
      <c r="B16" s="18">
        <v>1971</v>
      </c>
      <c r="C16" s="58">
        <v>11106</v>
      </c>
      <c r="D16" s="58">
        <v>9247</v>
      </c>
      <c r="E16" s="58">
        <v>898</v>
      </c>
      <c r="F16" s="58">
        <v>4047</v>
      </c>
      <c r="G16" s="58">
        <v>-1290</v>
      </c>
      <c r="H16" s="58">
        <v>798</v>
      </c>
      <c r="I16" s="58">
        <v>398</v>
      </c>
      <c r="J16" s="58">
        <v>94</v>
      </c>
    </row>
    <row r="17" spans="2:10">
      <c r="B17" s="18">
        <v>1972</v>
      </c>
      <c r="C17" s="58">
        <v>11998</v>
      </c>
      <c r="D17" s="58">
        <v>10497</v>
      </c>
      <c r="E17" s="58">
        <v>1020</v>
      </c>
      <c r="F17" s="58">
        <v>4872</v>
      </c>
      <c r="G17" s="58">
        <v>-2351</v>
      </c>
      <c r="H17" s="58">
        <v>1361</v>
      </c>
      <c r="I17" s="58">
        <v>1141</v>
      </c>
      <c r="J17" s="58">
        <v>-151</v>
      </c>
    </row>
    <row r="18" spans="2:10">
      <c r="B18" s="18">
        <v>1973</v>
      </c>
      <c r="C18" s="58">
        <v>14834</v>
      </c>
      <c r="D18" s="58">
        <v>11426</v>
      </c>
      <c r="E18" s="58">
        <v>826</v>
      </c>
      <c r="F18" s="58">
        <v>5363</v>
      </c>
      <c r="G18" s="58">
        <v>-1129</v>
      </c>
      <c r="H18" s="58">
        <v>1963</v>
      </c>
      <c r="I18" s="58">
        <v>-304</v>
      </c>
      <c r="J18" s="58">
        <v>-530</v>
      </c>
    </row>
    <row r="19" spans="2:10">
      <c r="B19" s="18">
        <v>1974</v>
      </c>
      <c r="C19" s="58">
        <v>19886</v>
      </c>
      <c r="D19" s="58">
        <v>14158</v>
      </c>
      <c r="E19" s="58">
        <v>814</v>
      </c>
      <c r="F19" s="58">
        <v>7410</v>
      </c>
      <c r="G19" s="58">
        <v>-868</v>
      </c>
      <c r="H19" s="58">
        <v>2873</v>
      </c>
      <c r="I19" s="58">
        <v>-1169</v>
      </c>
      <c r="J19" s="58">
        <v>-836</v>
      </c>
    </row>
    <row r="20" spans="2:10">
      <c r="B20" s="18">
        <v>1975</v>
      </c>
      <c r="C20" s="58">
        <v>23291.5</v>
      </c>
      <c r="D20" s="58">
        <v>16836.5</v>
      </c>
      <c r="E20" s="58">
        <v>97</v>
      </c>
      <c r="F20" s="58">
        <v>17156.5</v>
      </c>
      <c r="G20" s="58">
        <v>-8779.9</v>
      </c>
      <c r="H20" s="58">
        <v>9789.7999999999993</v>
      </c>
      <c r="I20" s="58">
        <v>339.9</v>
      </c>
      <c r="J20" s="58">
        <v>-1349.8</v>
      </c>
    </row>
    <row r="21" spans="2:10">
      <c r="B21" s="18">
        <v>1976</v>
      </c>
      <c r="C21" s="58">
        <v>26503.200000000001</v>
      </c>
      <c r="D21" s="58">
        <v>19205.599999999999</v>
      </c>
      <c r="E21" s="58">
        <v>1479.1</v>
      </c>
      <c r="F21" s="58">
        <v>15772.9</v>
      </c>
      <c r="G21" s="58">
        <v>-5245.4</v>
      </c>
      <c r="H21" s="58">
        <v>6099.7</v>
      </c>
      <c r="I21" s="58">
        <v>300.10000000000002</v>
      </c>
      <c r="J21" s="58">
        <v>-1154.4000000000001</v>
      </c>
    </row>
    <row r="22" spans="2:10">
      <c r="B22" s="18">
        <v>1977</v>
      </c>
      <c r="C22" s="58">
        <v>34934.300000000003</v>
      </c>
      <c r="D22" s="58">
        <v>22321.7</v>
      </c>
      <c r="E22" s="58">
        <v>-743.2</v>
      </c>
      <c r="F22" s="58">
        <v>16083.4</v>
      </c>
      <c r="G22" s="58">
        <v>-2329.6999999999998</v>
      </c>
      <c r="H22" s="58">
        <v>6481</v>
      </c>
      <c r="I22" s="58">
        <v>223.1</v>
      </c>
      <c r="J22" s="58">
        <v>-4374.3999999999996</v>
      </c>
    </row>
    <row r="23" spans="2:10">
      <c r="B23" s="18">
        <v>1978</v>
      </c>
      <c r="C23" s="58">
        <v>44645.4</v>
      </c>
      <c r="D23" s="58">
        <v>26102.1</v>
      </c>
      <c r="E23" s="58">
        <v>-5.2</v>
      </c>
      <c r="F23" s="58">
        <v>25055.7</v>
      </c>
      <c r="G23" s="58">
        <v>-4399.6000000000004</v>
      </c>
      <c r="H23" s="58">
        <v>9968.5</v>
      </c>
      <c r="I23" s="58">
        <v>247.2</v>
      </c>
      <c r="J23" s="58">
        <v>-5816.1</v>
      </c>
    </row>
    <row r="24" spans="2:10">
      <c r="B24" s="18">
        <v>1979</v>
      </c>
      <c r="C24" s="58">
        <v>60377</v>
      </c>
      <c r="D24" s="58">
        <v>33788</v>
      </c>
      <c r="E24" s="58">
        <v>3639</v>
      </c>
      <c r="F24" s="58">
        <v>23833</v>
      </c>
      <c r="G24" s="58">
        <v>6395</v>
      </c>
      <c r="H24" s="58">
        <v>2522.6</v>
      </c>
      <c r="I24" s="58">
        <v>850.5</v>
      </c>
      <c r="J24" s="58">
        <v>-9767.4</v>
      </c>
    </row>
    <row r="25" spans="2:10">
      <c r="B25" s="18">
        <v>1980</v>
      </c>
      <c r="C25" s="58">
        <v>70113.420899999997</v>
      </c>
      <c r="D25" s="58">
        <v>46181.821600000003</v>
      </c>
      <c r="E25" s="58">
        <v>6893.6456999999991</v>
      </c>
      <c r="F25" s="58">
        <v>28807.592599999996</v>
      </c>
      <c r="G25" s="58">
        <v>2017.6524000000018</v>
      </c>
      <c r="H25" s="58">
        <v>3586.9376000000002</v>
      </c>
      <c r="I25" s="58">
        <v>-5604.59</v>
      </c>
      <c r="J25" s="58">
        <v>-5100.1769000000004</v>
      </c>
    </row>
    <row r="26" spans="2:10">
      <c r="B26" s="18">
        <v>1981</v>
      </c>
      <c r="C26" s="58">
        <v>114382.40460000001</v>
      </c>
      <c r="D26" s="58">
        <v>94893.457100000014</v>
      </c>
      <c r="E26" s="58">
        <v>8008.1856999999991</v>
      </c>
      <c r="F26" s="58">
        <v>46560.867300000005</v>
      </c>
      <c r="G26" s="58">
        <v>-19063.734100000005</v>
      </c>
      <c r="H26" s="58">
        <v>6307.3320999999996</v>
      </c>
      <c r="I26" s="58">
        <v>12756.402</v>
      </c>
      <c r="J26" s="58">
        <v>8220.7924000000003</v>
      </c>
    </row>
    <row r="27" spans="2:10">
      <c r="B27" s="18">
        <v>1982</v>
      </c>
      <c r="C27" s="58">
        <v>91614.071999999986</v>
      </c>
      <c r="D27" s="58">
        <v>77168.088000000003</v>
      </c>
      <c r="E27" s="58">
        <v>19163.04</v>
      </c>
      <c r="F27" s="58">
        <v>40610.904000000002</v>
      </c>
      <c r="G27" s="58">
        <v>-7001.8800000000083</v>
      </c>
      <c r="H27" s="58">
        <v>7738.92</v>
      </c>
      <c r="I27" s="58">
        <v>-737.0400000000003</v>
      </c>
      <c r="J27" s="58">
        <v>-3832.6079999999997</v>
      </c>
    </row>
    <row r="28" spans="2:10">
      <c r="B28" s="18">
        <v>1983</v>
      </c>
      <c r="C28" s="58">
        <v>97028.320399999997</v>
      </c>
      <c r="D28" s="58">
        <v>88356.312000000005</v>
      </c>
      <c r="E28" s="58">
        <v>9817.3679999999986</v>
      </c>
      <c r="F28" s="58">
        <v>56449.866000000009</v>
      </c>
      <c r="G28" s="58">
        <v>-37960.489600000015</v>
      </c>
      <c r="H28" s="58">
        <v>27570.441800000001</v>
      </c>
      <c r="I28" s="58">
        <v>10390.0478</v>
      </c>
      <c r="J28" s="58">
        <v>-2945.2103999999999</v>
      </c>
    </row>
    <row r="29" spans="2:10">
      <c r="B29" s="18">
        <v>1984</v>
      </c>
      <c r="C29" s="58">
        <v>113574.1084</v>
      </c>
      <c r="D29" s="58">
        <v>98159.714800000002</v>
      </c>
      <c r="E29" s="58">
        <v>15628.482400000001</v>
      </c>
      <c r="F29" s="58">
        <v>89275.029599999994</v>
      </c>
      <c r="G29" s="58">
        <v>-58232.153600000005</v>
      </c>
      <c r="H29" s="58">
        <v>45065.6924</v>
      </c>
      <c r="I29" s="58">
        <v>13166.461199999996</v>
      </c>
      <c r="J29" s="58">
        <v>-11239.662</v>
      </c>
    </row>
    <row r="30" spans="2:10">
      <c r="B30" s="18">
        <v>1985</v>
      </c>
      <c r="C30" s="58">
        <v>163782.07500000001</v>
      </c>
      <c r="D30" s="58">
        <v>117644.31599999999</v>
      </c>
      <c r="E30" s="58">
        <v>15890.345999999998</v>
      </c>
      <c r="F30" s="58">
        <v>90742.239000000001</v>
      </c>
      <c r="G30" s="58">
        <v>-28714.133999999995</v>
      </c>
      <c r="H30" s="58">
        <v>13241.955</v>
      </c>
      <c r="I30" s="58">
        <v>15472.178999999998</v>
      </c>
      <c r="J30" s="58">
        <v>-26762.687999999998</v>
      </c>
    </row>
    <row r="31" spans="2:10">
      <c r="B31" s="18">
        <v>1986</v>
      </c>
      <c r="C31" s="58">
        <v>198417.16000000003</v>
      </c>
      <c r="D31" s="58">
        <v>146153.86000000002</v>
      </c>
      <c r="E31" s="58">
        <v>17054.340000000004</v>
      </c>
      <c r="F31" s="58">
        <v>94624.080000000016</v>
      </c>
      <c r="G31" s="58">
        <v>-25306.439999999995</v>
      </c>
      <c r="H31" s="58">
        <v>49145.840000000011</v>
      </c>
      <c r="I31" s="58">
        <v>-23839.400000000005</v>
      </c>
      <c r="J31" s="58">
        <v>-51529.780000000006</v>
      </c>
    </row>
    <row r="32" spans="2:10">
      <c r="B32" s="18">
        <v>1987</v>
      </c>
      <c r="C32" s="58">
        <v>280280.7524</v>
      </c>
      <c r="D32" s="58">
        <v>197991.91940000001</v>
      </c>
      <c r="E32" s="58">
        <v>40895.056399999994</v>
      </c>
      <c r="F32" s="58">
        <v>144628.85799999998</v>
      </c>
      <c r="G32" s="58">
        <v>-21444.968600000007</v>
      </c>
      <c r="H32" s="58">
        <v>12468.004999999999</v>
      </c>
      <c r="I32" s="58">
        <v>9226.3236999999972</v>
      </c>
      <c r="J32" s="58">
        <v>-41892.496799999994</v>
      </c>
    </row>
    <row r="33" spans="2:10">
      <c r="B33" s="18">
        <v>1988</v>
      </c>
      <c r="C33" s="58">
        <v>367095.11440000008</v>
      </c>
      <c r="D33" s="58">
        <v>241300.31479999996</v>
      </c>
      <c r="E33" s="58">
        <v>49786.86</v>
      </c>
      <c r="F33" s="58">
        <v>223377.04519999999</v>
      </c>
      <c r="G33" s="58">
        <v>-47795.385599999958</v>
      </c>
      <c r="H33" s="58">
        <v>76671.7644</v>
      </c>
      <c r="I33" s="58">
        <v>-28544.466399999998</v>
      </c>
      <c r="J33" s="58">
        <v>-82314.275199999989</v>
      </c>
    </row>
    <row r="34" spans="2:10">
      <c r="B34" s="18">
        <v>1989</v>
      </c>
      <c r="C34" s="58">
        <v>553468.84</v>
      </c>
      <c r="D34" s="58">
        <v>423051.12</v>
      </c>
      <c r="E34" s="58">
        <v>160372.32</v>
      </c>
      <c r="F34" s="58">
        <v>305536.92</v>
      </c>
      <c r="G34" s="58">
        <v>-14746.879999999972</v>
      </c>
      <c r="H34" s="58">
        <v>135486.96</v>
      </c>
      <c r="I34" s="58">
        <v>-120740.08</v>
      </c>
      <c r="J34" s="58">
        <v>-186640.2</v>
      </c>
    </row>
    <row r="35" spans="2:10">
      <c r="B35" s="18" t="s">
        <v>81</v>
      </c>
      <c r="C35" s="58">
        <v>1093912</v>
      </c>
      <c r="D35" s="58">
        <v>590682</v>
      </c>
      <c r="E35" s="58">
        <v>44540</v>
      </c>
      <c r="F35" s="58">
        <v>194603</v>
      </c>
      <c r="G35" s="58">
        <v>353167</v>
      </c>
      <c r="H35" s="58">
        <v>-72088</v>
      </c>
      <c r="I35" s="58">
        <v>-281079</v>
      </c>
      <c r="J35" s="58"/>
    </row>
    <row r="36" spans="2:10">
      <c r="B36" s="18">
        <v>1991</v>
      </c>
      <c r="C36" s="58">
        <v>1362377</v>
      </c>
      <c r="D36" s="58">
        <v>863989</v>
      </c>
      <c r="E36" s="58">
        <v>21890</v>
      </c>
      <c r="F36" s="58">
        <v>362081</v>
      </c>
      <c r="G36" s="58">
        <v>158197</v>
      </c>
      <c r="H36" s="58">
        <v>-35947</v>
      </c>
      <c r="I36" s="58">
        <v>-122250</v>
      </c>
      <c r="J36" s="58"/>
    </row>
    <row r="37" spans="2:10">
      <c r="B37" s="18">
        <v>1992</v>
      </c>
      <c r="C37" s="58">
        <v>1709669</v>
      </c>
      <c r="D37" s="58">
        <v>1223095</v>
      </c>
      <c r="E37" s="58">
        <v>28841</v>
      </c>
      <c r="F37" s="58">
        <v>504418</v>
      </c>
      <c r="G37" s="58">
        <v>10997</v>
      </c>
      <c r="H37" s="58">
        <v>-56946</v>
      </c>
      <c r="I37" s="58">
        <v>45949</v>
      </c>
      <c r="J37" s="58"/>
    </row>
    <row r="38" spans="2:10">
      <c r="B38" s="18">
        <v>1993</v>
      </c>
      <c r="C38" s="58">
        <v>2177463</v>
      </c>
      <c r="D38" s="58">
        <v>1502654</v>
      </c>
      <c r="E38" s="58">
        <v>78349</v>
      </c>
      <c r="F38" s="58">
        <v>562819</v>
      </c>
      <c r="G38" s="58">
        <v>190339</v>
      </c>
      <c r="H38" s="58">
        <v>-129780</v>
      </c>
      <c r="I38" s="58">
        <v>-60559</v>
      </c>
      <c r="J38" s="58"/>
    </row>
    <row r="39" spans="2:10">
      <c r="B39" s="18">
        <v>1994</v>
      </c>
      <c r="C39" s="58">
        <v>2852818</v>
      </c>
      <c r="D39" s="58">
        <v>1891806</v>
      </c>
      <c r="E39" s="58">
        <v>73172</v>
      </c>
      <c r="F39" s="58">
        <v>614091</v>
      </c>
      <c r="G39" s="58">
        <v>420093</v>
      </c>
      <c r="H39" s="58">
        <v>-89412</v>
      </c>
      <c r="I39" s="58">
        <v>-330681</v>
      </c>
      <c r="J39" s="58"/>
    </row>
    <row r="40" spans="2:10">
      <c r="B40" s="18">
        <v>1995</v>
      </c>
      <c r="C40" s="58">
        <v>3247543</v>
      </c>
      <c r="D40" s="58">
        <v>2205512</v>
      </c>
      <c r="E40" s="58">
        <v>124155</v>
      </c>
      <c r="F40" s="58">
        <v>981489</v>
      </c>
      <c r="G40" s="58">
        <v>184697</v>
      </c>
      <c r="H40" s="58">
        <v>57443</v>
      </c>
      <c r="I40" s="58">
        <v>-242140</v>
      </c>
      <c r="J40" s="58"/>
    </row>
    <row r="41" spans="2:10">
      <c r="B41" s="18">
        <v>1996</v>
      </c>
      <c r="C41" s="58">
        <v>3902426</v>
      </c>
      <c r="D41" s="58">
        <v>2851989</v>
      </c>
      <c r="E41" s="58">
        <v>114426</v>
      </c>
      <c r="F41" s="58">
        <v>980107</v>
      </c>
      <c r="G41" s="58">
        <v>184756</v>
      </c>
      <c r="H41" s="58">
        <v>-2621</v>
      </c>
      <c r="I41" s="58">
        <v>-182135</v>
      </c>
      <c r="J41" s="58"/>
    </row>
    <row r="42" spans="2:10">
      <c r="B42" s="18">
        <v>1997</v>
      </c>
      <c r="C42" s="58">
        <v>4639949</v>
      </c>
      <c r="D42" s="58">
        <v>3151617</v>
      </c>
      <c r="E42" s="58">
        <v>186036</v>
      </c>
      <c r="F42" s="58">
        <v>1858878</v>
      </c>
      <c r="G42" s="58">
        <v>-184510</v>
      </c>
      <c r="H42" s="58">
        <v>194441</v>
      </c>
      <c r="I42" s="58">
        <v>-9931</v>
      </c>
      <c r="J42" s="58"/>
    </row>
    <row r="43" spans="2:10">
      <c r="B43" s="18" t="s">
        <v>82</v>
      </c>
      <c r="C43" s="58">
        <v>5391985</v>
      </c>
      <c r="D43" s="58">
        <v>3551735</v>
      </c>
      <c r="E43" s="58">
        <v>49334</v>
      </c>
      <c r="F43" s="58">
        <v>1490065</v>
      </c>
      <c r="G43" s="58">
        <v>399519</v>
      </c>
      <c r="H43" s="58">
        <v>183819</v>
      </c>
      <c r="I43" s="58">
        <v>-583338</v>
      </c>
      <c r="J43" s="58"/>
    </row>
    <row r="44" spans="2:10">
      <c r="B44" s="18">
        <v>1999</v>
      </c>
      <c r="C44" s="58">
        <v>7436630.4068010002</v>
      </c>
      <c r="D44" s="58">
        <v>5484057.4813400004</v>
      </c>
      <c r="E44" s="58">
        <v>178363.70007899997</v>
      </c>
      <c r="F44" s="58">
        <v>2910166.0327620003</v>
      </c>
      <c r="G44" s="58">
        <v>-779229.40722200007</v>
      </c>
      <c r="H44" s="58">
        <v>1527885.9439999999</v>
      </c>
      <c r="I44" s="58">
        <v>-69114.938000000009</v>
      </c>
      <c r="J44" s="58">
        <v>-679541.59877799987</v>
      </c>
    </row>
    <row r="45" spans="2:10">
      <c r="B45" s="18">
        <v>2000</v>
      </c>
      <c r="C45" s="58">
        <v>8402167.7775999997</v>
      </c>
      <c r="D45" s="58">
        <v>6277146.4423999991</v>
      </c>
      <c r="E45" s="58">
        <v>305990.30900000001</v>
      </c>
      <c r="F45" s="58">
        <v>3285278.9017999996</v>
      </c>
      <c r="G45" s="58">
        <v>-854267.2575999992</v>
      </c>
      <c r="H45" s="58">
        <v>551233.32999999996</v>
      </c>
      <c r="I45" s="58">
        <v>-130805.30400000003</v>
      </c>
      <c r="J45" s="58">
        <v>433839.23159999913</v>
      </c>
    </row>
    <row r="46" spans="2:10">
      <c r="B46" s="18" t="s">
        <v>94</v>
      </c>
      <c r="C46" s="58">
        <v>9475657.124400001</v>
      </c>
      <c r="D46" s="58">
        <v>7927941.4094999991</v>
      </c>
      <c r="E46" s="58">
        <v>22835.362000000005</v>
      </c>
      <c r="F46" s="58">
        <v>1317771.5126800002</v>
      </c>
      <c r="G46" s="58">
        <v>288328.69422000169</v>
      </c>
      <c r="H46" s="58">
        <v>9820.3810000000522</v>
      </c>
      <c r="I46" s="58">
        <v>-46169.534032999829</v>
      </c>
      <c r="J46" s="58">
        <v>87705.349999999991</v>
      </c>
    </row>
    <row r="47" spans="2:10">
      <c r="B47" s="18">
        <v>2002</v>
      </c>
      <c r="C47" s="58">
        <v>9487531.1989500001</v>
      </c>
      <c r="D47" s="58">
        <v>8558100.8509000018</v>
      </c>
      <c r="E47" s="58">
        <v>207048.81099999996</v>
      </c>
      <c r="F47" s="58">
        <v>1943684.91344</v>
      </c>
      <c r="G47" s="58">
        <v>-807205.7543900006</v>
      </c>
      <c r="H47" s="58">
        <v>205139.87400000007</v>
      </c>
      <c r="I47" s="58">
        <v>297147.81</v>
      </c>
      <c r="J47" s="58">
        <v>304918.07039000053</v>
      </c>
    </row>
    <row r="48" spans="2:10">
      <c r="B48" s="18">
        <v>2003</v>
      </c>
      <c r="C48" s="58">
        <v>11350927.980575001</v>
      </c>
      <c r="D48" s="58">
        <v>9343579.2770490013</v>
      </c>
      <c r="E48" s="58">
        <v>10976.571</v>
      </c>
      <c r="F48" s="58">
        <v>1755598.6498970003</v>
      </c>
      <c r="G48" s="58">
        <v>391457.80328299926</v>
      </c>
      <c r="H48" s="58">
        <v>502256.78200000024</v>
      </c>
      <c r="I48" s="58">
        <v>-271311.31904499995</v>
      </c>
      <c r="J48" s="58">
        <v>-390336</v>
      </c>
    </row>
    <row r="49" spans="2:10">
      <c r="B49" s="18">
        <v>2004</v>
      </c>
      <c r="C49" s="58">
        <v>14063370.68236804</v>
      </c>
      <c r="D49" s="58">
        <v>11061550.4628511</v>
      </c>
      <c r="E49" s="58">
        <v>29973.566460999995</v>
      </c>
      <c r="F49" s="58">
        <v>2161196.8431645995</v>
      </c>
      <c r="G49" s="58">
        <v>961610.60416584101</v>
      </c>
      <c r="H49" s="58">
        <v>-212242.94815799966</v>
      </c>
      <c r="I49" s="58">
        <v>-133384.99581489988</v>
      </c>
      <c r="J49" s="58">
        <v>-638161.41051469021</v>
      </c>
    </row>
    <row r="50" spans="2:10">
      <c r="B50" s="18">
        <v>2005</v>
      </c>
      <c r="C50" s="58">
        <v>16026077.591587372</v>
      </c>
      <c r="D50" s="58">
        <v>13080509.6208243</v>
      </c>
      <c r="E50" s="58">
        <v>65723.394118000011</v>
      </c>
      <c r="F50" s="58">
        <v>2276204.7975724004</v>
      </c>
      <c r="G50" s="58">
        <v>703508.80912967178</v>
      </c>
      <c r="H50" s="58">
        <v>-450984.90267900005</v>
      </c>
      <c r="I50" s="58">
        <v>-123725.356976265</v>
      </c>
      <c r="J50" s="58">
        <v>-143988.18992010006</v>
      </c>
    </row>
    <row r="51" spans="2:10">
      <c r="B51" s="18">
        <v>2006</v>
      </c>
      <c r="C51" s="58">
        <v>18051483.620675202</v>
      </c>
      <c r="D51" s="58">
        <v>14315243.825837536</v>
      </c>
      <c r="E51" s="58">
        <v>33287.201726000028</v>
      </c>
      <c r="F51" s="58">
        <v>2572150.8687809994</v>
      </c>
      <c r="G51" s="58">
        <v>1194283.0230276671</v>
      </c>
      <c r="H51" s="58">
        <v>-337767.5806172</v>
      </c>
      <c r="I51" s="58">
        <v>322427.43681559991</v>
      </c>
      <c r="J51" s="58">
        <v>-841679.34684889484</v>
      </c>
    </row>
    <row r="52" spans="2:10">
      <c r="B52" s="18">
        <v>2007</v>
      </c>
      <c r="C52" s="58">
        <v>18690910.982067704</v>
      </c>
      <c r="D52" s="58">
        <v>14749148.982462905</v>
      </c>
      <c r="E52" s="58">
        <v>33607.253416</v>
      </c>
      <c r="F52" s="58">
        <v>2741738.8107404001</v>
      </c>
      <c r="G52" s="58">
        <v>1187331.5705753986</v>
      </c>
      <c r="H52" s="58">
        <v>-362474.88949099986</v>
      </c>
      <c r="I52" s="58">
        <v>848981.82702590001</v>
      </c>
      <c r="J52" s="58">
        <v>-1484520.5079274075</v>
      </c>
    </row>
    <row r="53" spans="2:10">
      <c r="B53" s="18">
        <v>2008</v>
      </c>
      <c r="C53" s="58">
        <v>22268217.437411003</v>
      </c>
      <c r="D53" s="58">
        <v>17389492.619866006</v>
      </c>
      <c r="E53" s="58">
        <v>55948.888353999973</v>
      </c>
      <c r="F53" s="58">
        <v>2423810.8523129998</v>
      </c>
      <c r="G53" s="58">
        <v>2347223.9497665968</v>
      </c>
      <c r="H53" s="58">
        <v>-478424.95542499993</v>
      </c>
      <c r="I53" s="58">
        <v>149229.55017400029</v>
      </c>
      <c r="J53" s="58">
        <v>-2169107.2934994018</v>
      </c>
    </row>
    <row r="54" spans="2:10">
      <c r="B54" s="18">
        <v>2009</v>
      </c>
      <c r="C54" s="58">
        <v>22994680.111539997</v>
      </c>
      <c r="D54" s="58">
        <v>19984560.345146399</v>
      </c>
      <c r="E54" s="58">
        <v>417871.12585400004</v>
      </c>
      <c r="F54" s="58">
        <v>3784811.4824210005</v>
      </c>
      <c r="G54" s="58">
        <v>-372113.91863440239</v>
      </c>
      <c r="H54" s="58">
        <v>73387.431365000084</v>
      </c>
      <c r="I54" s="58">
        <v>521023.44720200007</v>
      </c>
      <c r="J54" s="58">
        <v>-979965.0710141008</v>
      </c>
    </row>
    <row r="55" spans="2:10">
      <c r="B55" s="18">
        <v>2010</v>
      </c>
      <c r="C55" s="58">
        <v>25671985.018208005</v>
      </c>
      <c r="D55" s="58">
        <v>21016892.735977996</v>
      </c>
      <c r="E55" s="58">
        <v>373166.40964800003</v>
      </c>
      <c r="F55" s="58">
        <v>4261975.0647370005</v>
      </c>
      <c r="G55" s="58">
        <v>735344.13448900823</v>
      </c>
      <c r="H55" s="58">
        <v>-334620.85957399989</v>
      </c>
      <c r="I55" s="58">
        <v>-160916.91505400004</v>
      </c>
      <c r="J55" s="58">
        <v>-1613549.4655288192</v>
      </c>
    </row>
    <row r="56" spans="2:10">
      <c r="B56" s="18">
        <v>2011</v>
      </c>
      <c r="C56" s="58">
        <v>30590738.053245995</v>
      </c>
      <c r="D56" s="58">
        <v>24526133.052958999</v>
      </c>
      <c r="E56" s="58">
        <v>709109.89436200005</v>
      </c>
      <c r="F56" s="58">
        <v>5317774.1413990008</v>
      </c>
      <c r="G56" s="58">
        <v>1360537.8390429956</v>
      </c>
      <c r="H56" s="58">
        <v>-322335.77121399995</v>
      </c>
      <c r="I56" s="58">
        <v>-259437.93582999991</v>
      </c>
      <c r="J56" s="58">
        <v>-332263.61339325964</v>
      </c>
    </row>
    <row r="57" spans="2:10">
      <c r="B57" s="18">
        <v>2012</v>
      </c>
      <c r="C57" s="58">
        <v>33235569.370925009</v>
      </c>
      <c r="D57" s="58">
        <v>29148345.317899004</v>
      </c>
      <c r="E57" s="58">
        <v>712751.47201999999</v>
      </c>
      <c r="F57" s="58">
        <v>6475541.7151110005</v>
      </c>
      <c r="G57" s="58">
        <v>-1739656.8201899943</v>
      </c>
      <c r="H57" s="58">
        <v>-145634.32991099986</v>
      </c>
      <c r="I57" s="58">
        <v>885271.39175399893</v>
      </c>
      <c r="J57" s="58">
        <v>1027553.328132341</v>
      </c>
    </row>
    <row r="58" spans="2:10">
      <c r="B58" s="18">
        <v>2013</v>
      </c>
      <c r="C58" s="58">
        <v>34163313.611515</v>
      </c>
      <c r="D58" s="58">
        <v>30530364.968796007</v>
      </c>
      <c r="E58" s="58">
        <v>655415.27880099986</v>
      </c>
      <c r="F58" s="58">
        <v>6312309.6965460004</v>
      </c>
      <c r="G58" s="58">
        <v>-2396393.6821040073</v>
      </c>
      <c r="H58" s="58">
        <v>2110162.8647539997</v>
      </c>
      <c r="I58" s="58">
        <v>1036752.3796890003</v>
      </c>
      <c r="J58" s="58">
        <v>-796818.20862404001</v>
      </c>
    </row>
    <row r="59" spans="2:10">
      <c r="B59" s="18">
        <v>2014</v>
      </c>
      <c r="C59" s="58">
        <v>38547690.508584008</v>
      </c>
      <c r="D59" s="58">
        <v>33715278.749415003</v>
      </c>
      <c r="E59" s="58">
        <v>1426719.1744539998</v>
      </c>
      <c r="F59" s="58">
        <v>7188173.353507001</v>
      </c>
      <c r="G59" s="58">
        <v>-2034214.3681629961</v>
      </c>
      <c r="H59" s="58">
        <v>4323295.2098409999</v>
      </c>
      <c r="I59" s="58">
        <v>761561.30628500087</v>
      </c>
      <c r="J59" s="58">
        <v>-2413977.9699427802</v>
      </c>
    </row>
    <row r="62" spans="2:10">
      <c r="B62" s="22" t="s">
        <v>53</v>
      </c>
      <c r="C62" s="23" t="s">
        <v>54</v>
      </c>
      <c r="D62" s="24"/>
      <c r="E62" s="24"/>
    </row>
    <row r="63" spans="2:10">
      <c r="B63" s="22" t="s">
        <v>55</v>
      </c>
      <c r="C63" s="23" t="s">
        <v>56</v>
      </c>
      <c r="D63" s="24"/>
      <c r="E63" s="24"/>
    </row>
    <row r="64" spans="2:10">
      <c r="B64" s="25" t="s">
        <v>57</v>
      </c>
      <c r="C64" s="23" t="s">
        <v>58</v>
      </c>
      <c r="D64" s="24"/>
      <c r="E64" s="24"/>
    </row>
    <row r="66" spans="2:10">
      <c r="C66" s="1"/>
      <c r="D66" s="1"/>
    </row>
    <row r="67" spans="2:10">
      <c r="B67" s="19" t="s">
        <v>90</v>
      </c>
      <c r="C67" s="1"/>
      <c r="J67" s="1"/>
    </row>
    <row r="68" spans="2:10" s="26" customFormat="1" ht="78.75" customHeight="1">
      <c r="B68" s="27" t="s">
        <v>59</v>
      </c>
      <c r="C68" s="451" t="s">
        <v>91</v>
      </c>
      <c r="D68" s="451"/>
      <c r="E68" s="451"/>
      <c r="F68" s="451"/>
      <c r="G68" s="451"/>
      <c r="H68" s="451"/>
      <c r="I68" s="451"/>
      <c r="J68" s="451"/>
    </row>
    <row r="69" spans="2:10" s="26" customFormat="1" ht="78.75" customHeight="1">
      <c r="B69" s="27" t="s">
        <v>60</v>
      </c>
      <c r="C69" s="451" t="s">
        <v>92</v>
      </c>
      <c r="D69" s="451"/>
      <c r="E69" s="451"/>
      <c r="F69" s="451"/>
      <c r="G69" s="451"/>
      <c r="H69" s="451"/>
      <c r="I69" s="451"/>
      <c r="J69" s="451"/>
    </row>
    <row r="70" spans="2:10" s="26" customFormat="1" ht="78.75" customHeight="1">
      <c r="B70" s="27" t="s">
        <v>61</v>
      </c>
      <c r="C70" s="451" t="s">
        <v>93</v>
      </c>
      <c r="D70" s="452"/>
      <c r="E70" s="452"/>
      <c r="F70" s="452"/>
      <c r="G70" s="452"/>
      <c r="H70" s="452"/>
      <c r="I70" s="452"/>
      <c r="J70" s="452"/>
    </row>
    <row r="71" spans="2:10" s="26" customFormat="1" ht="78.75" customHeight="1">
      <c r="B71" s="27" t="s">
        <v>62</v>
      </c>
      <c r="D71" s="4"/>
      <c r="E71" s="4"/>
      <c r="F71" s="4"/>
      <c r="G71" s="4"/>
      <c r="H71" s="4"/>
      <c r="I71" s="4"/>
    </row>
  </sheetData>
  <mergeCells count="4">
    <mergeCell ref="C68:J68"/>
    <mergeCell ref="C69:J69"/>
    <mergeCell ref="C70:J70"/>
    <mergeCell ref="B3:J3"/>
  </mergeCells>
  <hyperlinks>
    <hyperlink ref="A1" location="Índice!A1" display="Índice"/>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7" tint="0.39997558519241921"/>
  </sheetPr>
  <dimension ref="A1:C58"/>
  <sheetViews>
    <sheetView workbookViewId="0"/>
  </sheetViews>
  <sheetFormatPr defaultColWidth="11.44140625" defaultRowHeight="14.4"/>
  <cols>
    <col min="3" max="3" width="15.44140625" customWidth="1"/>
  </cols>
  <sheetData>
    <row r="1" spans="1:3">
      <c r="A1" s="63" t="s">
        <v>166</v>
      </c>
    </row>
    <row r="2" spans="1:3">
      <c r="B2" s="32" t="s">
        <v>88</v>
      </c>
      <c r="C2" s="32" t="s">
        <v>4</v>
      </c>
    </row>
    <row r="3" spans="1:3">
      <c r="B3" s="30">
        <v>1960</v>
      </c>
      <c r="C3" s="58">
        <v>31981901.037491996</v>
      </c>
    </row>
    <row r="4" spans="1:3">
      <c r="B4" s="30">
        <v>1961</v>
      </c>
      <c r="C4" s="58">
        <v>36474200.093024276</v>
      </c>
    </row>
    <row r="5" spans="1:3">
      <c r="B5" s="30">
        <v>1962</v>
      </c>
      <c r="C5" s="58">
        <v>40850906.356019549</v>
      </c>
    </row>
    <row r="6" spans="1:3">
      <c r="B6" s="30">
        <v>1963</v>
      </c>
      <c r="C6" s="58">
        <v>43439426.657305405</v>
      </c>
    </row>
    <row r="7" spans="1:3">
      <c r="B7" s="30">
        <v>1964</v>
      </c>
      <c r="C7" s="58">
        <v>46286816.862199664</v>
      </c>
    </row>
    <row r="8" spans="1:3">
      <c r="B8" s="30">
        <v>1965</v>
      </c>
      <c r="C8" s="58">
        <v>50416341.077094465</v>
      </c>
    </row>
    <row r="9" spans="1:3">
      <c r="B9" s="30">
        <v>1966</v>
      </c>
      <c r="C9" s="58">
        <v>53134255.667617962</v>
      </c>
    </row>
    <row r="10" spans="1:3">
      <c r="B10" s="30">
        <v>1967</v>
      </c>
      <c r="C10" s="58">
        <v>56892039.69192303</v>
      </c>
    </row>
    <row r="11" spans="1:3">
      <c r="B11" s="30">
        <v>1968</v>
      </c>
      <c r="C11" s="58">
        <v>60103576.598544993</v>
      </c>
    </row>
    <row r="12" spans="1:3">
      <c r="B12" s="30">
        <v>1969</v>
      </c>
      <c r="C12" s="58">
        <v>64603847.218767427</v>
      </c>
    </row>
    <row r="13" spans="1:3">
      <c r="B13" s="30">
        <v>1970</v>
      </c>
      <c r="C13" s="58">
        <v>69143520.38917622</v>
      </c>
    </row>
    <row r="14" spans="1:3">
      <c r="B14" s="30">
        <v>1971</v>
      </c>
      <c r="C14" s="58">
        <v>76739957.949324444</v>
      </c>
    </row>
    <row r="15" spans="1:3">
      <c r="B15" s="30">
        <v>1972</v>
      </c>
      <c r="C15" s="58">
        <v>87858757.669864893</v>
      </c>
    </row>
    <row r="16" spans="1:3">
      <c r="B16" s="30">
        <v>1973</v>
      </c>
      <c r="C16" s="58">
        <v>112058989.52764736</v>
      </c>
    </row>
    <row r="17" spans="2:3">
      <c r="B17" s="30">
        <v>1974</v>
      </c>
      <c r="C17" s="58">
        <v>151151991.49675915</v>
      </c>
    </row>
    <row r="18" spans="2:3">
      <c r="B18" s="30">
        <v>1975</v>
      </c>
      <c r="C18" s="58">
        <v>170338064.7759259</v>
      </c>
    </row>
    <row r="19" spans="2:3">
      <c r="B19" s="30">
        <v>1976</v>
      </c>
      <c r="C19" s="58">
        <v>194143350.9485957</v>
      </c>
    </row>
    <row r="20" spans="2:3">
      <c r="B20" s="30">
        <v>1977</v>
      </c>
      <c r="C20" s="58">
        <v>240956520.83487576</v>
      </c>
    </row>
    <row r="21" spans="2:3">
      <c r="B21" s="30">
        <v>1978</v>
      </c>
      <c r="C21" s="58">
        <v>296141473.75463033</v>
      </c>
    </row>
    <row r="22" spans="2:3">
      <c r="B22" s="30">
        <v>1979</v>
      </c>
      <c r="C22" s="58">
        <v>395025608.81821495</v>
      </c>
    </row>
    <row r="23" spans="2:3">
      <c r="B23" s="30">
        <v>1980</v>
      </c>
      <c r="C23" s="58">
        <v>515946121.50783777</v>
      </c>
    </row>
    <row r="24" spans="2:3">
      <c r="B24" s="30">
        <v>1981</v>
      </c>
      <c r="C24" s="58">
        <v>657659118.07549727</v>
      </c>
    </row>
    <row r="25" spans="2:3">
      <c r="B25" s="30">
        <v>1982</v>
      </c>
      <c r="C25" s="58">
        <v>689173200.32844722</v>
      </c>
    </row>
    <row r="26" spans="2:3">
      <c r="B26" s="30">
        <v>1983</v>
      </c>
      <c r="C26" s="58">
        <v>764665151.18325567</v>
      </c>
    </row>
    <row r="27" spans="2:3">
      <c r="B27" s="30">
        <v>1984</v>
      </c>
      <c r="C27" s="58">
        <v>991182091.36330104</v>
      </c>
    </row>
    <row r="28" spans="2:3">
      <c r="B28" s="30">
        <v>1985</v>
      </c>
      <c r="C28" s="58">
        <v>1307219370.6242959</v>
      </c>
    </row>
    <row r="29" spans="2:3">
      <c r="B29" s="30">
        <v>1986</v>
      </c>
      <c r="C29" s="58">
        <v>1779709348.981041</v>
      </c>
    </row>
    <row r="30" spans="2:3">
      <c r="B30" s="30">
        <v>1987</v>
      </c>
      <c r="C30" s="58">
        <v>2523915342.0047355</v>
      </c>
    </row>
    <row r="31" spans="2:3">
      <c r="B31" s="30">
        <v>1988</v>
      </c>
      <c r="C31" s="58">
        <v>3429405800.3171983</v>
      </c>
    </row>
    <row r="32" spans="2:3">
      <c r="B32" s="30">
        <v>1989</v>
      </c>
      <c r="C32" s="58">
        <v>4858488967.2426691</v>
      </c>
    </row>
    <row r="33" spans="2:3">
      <c r="B33" s="30">
        <v>1990</v>
      </c>
      <c r="C33" s="58">
        <v>7003958882.7211781</v>
      </c>
    </row>
    <row r="34" spans="2:3">
      <c r="B34" s="30">
        <v>1991</v>
      </c>
      <c r="C34" s="58">
        <v>9255684159.3739624</v>
      </c>
    </row>
    <row r="35" spans="2:3">
      <c r="B35" s="30">
        <v>1992</v>
      </c>
      <c r="C35" s="58">
        <v>10738283273.766331</v>
      </c>
    </row>
    <row r="36" spans="2:3">
      <c r="B36" s="30">
        <v>1993</v>
      </c>
      <c r="C36" s="58">
        <v>12645361493.907505</v>
      </c>
    </row>
    <row r="37" spans="2:3">
      <c r="B37" s="30">
        <v>1994</v>
      </c>
      <c r="C37" s="58">
        <v>14992331683.506493</v>
      </c>
    </row>
    <row r="38" spans="2:3">
      <c r="B38" s="30">
        <v>1995</v>
      </c>
      <c r="C38" s="58">
        <v>17789145328.094486</v>
      </c>
    </row>
    <row r="39" spans="2:3">
      <c r="B39" s="30">
        <v>1996</v>
      </c>
      <c r="C39" s="58">
        <v>20132862098.148197</v>
      </c>
    </row>
    <row r="40" spans="2:3">
      <c r="B40" s="30">
        <v>1997</v>
      </c>
      <c r="C40" s="58">
        <v>21702866395.208145</v>
      </c>
    </row>
    <row r="41" spans="2:3">
      <c r="B41" s="30">
        <v>1998</v>
      </c>
      <c r="C41" s="58">
        <v>24605392360.497017</v>
      </c>
    </row>
    <row r="42" spans="2:3">
      <c r="B42" s="30">
        <v>1999</v>
      </c>
      <c r="C42" s="58">
        <v>26176950737.209244</v>
      </c>
    </row>
    <row r="43" spans="2:3">
      <c r="B43" s="30">
        <v>2000</v>
      </c>
      <c r="C43" s="58">
        <v>28574100862.382504</v>
      </c>
    </row>
    <row r="44" spans="2:3">
      <c r="B44" s="30">
        <v>2001</v>
      </c>
      <c r="C44" s="58">
        <v>31462078100.319904</v>
      </c>
    </row>
    <row r="45" spans="2:3">
      <c r="B45" s="30">
        <v>2002</v>
      </c>
      <c r="C45" s="58">
        <v>36156212343.866737</v>
      </c>
    </row>
    <row r="46" spans="2:3">
      <c r="B46" s="30">
        <v>2003</v>
      </c>
      <c r="C46" s="58">
        <v>42324219772.408745</v>
      </c>
    </row>
    <row r="47" spans="2:3">
      <c r="B47" s="30">
        <v>2004</v>
      </c>
      <c r="C47" s="58">
        <v>47999043589.724075</v>
      </c>
    </row>
    <row r="48" spans="2:3">
      <c r="B48" s="30">
        <v>2005</v>
      </c>
      <c r="C48" s="58">
        <v>53962326676.522209</v>
      </c>
    </row>
    <row r="49" spans="2:3">
      <c r="B49" s="30">
        <v>2006</v>
      </c>
      <c r="C49" s="58">
        <v>59996506118.773415</v>
      </c>
    </row>
    <row r="50" spans="2:3">
      <c r="B50" s="30">
        <v>2007</v>
      </c>
      <c r="C50" s="58">
        <v>69426262232.025467</v>
      </c>
    </row>
    <row r="51" spans="2:3">
      <c r="B51" s="30">
        <v>2008</v>
      </c>
      <c r="C51" s="58">
        <v>80734753242.282455</v>
      </c>
    </row>
    <row r="52" spans="2:3">
      <c r="B52" s="30">
        <v>2009</v>
      </c>
      <c r="C52" s="58">
        <v>79117170176.796188</v>
      </c>
    </row>
    <row r="53" spans="2:3">
      <c r="B53" s="30">
        <v>2010</v>
      </c>
      <c r="C53" s="58">
        <v>94934255213.694626</v>
      </c>
    </row>
    <row r="54" spans="2:3">
      <c r="B54" s="30">
        <v>2011</v>
      </c>
      <c r="C54" s="58">
        <v>105203213929.758</v>
      </c>
    </row>
    <row r="55" spans="2:3">
      <c r="B55" s="30">
        <v>2012</v>
      </c>
      <c r="C55" s="58">
        <v>108832260329.104</v>
      </c>
    </row>
    <row r="56" spans="2:3">
      <c r="B56" s="30">
        <v>2013</v>
      </c>
      <c r="C56" s="58">
        <v>125152244903.77592</v>
      </c>
    </row>
    <row r="57" spans="2:3">
      <c r="B57" s="30">
        <v>2014</v>
      </c>
      <c r="C57" s="58">
        <v>137797686414.745</v>
      </c>
    </row>
    <row r="58" spans="2:3">
      <c r="C58" s="26" t="s">
        <v>107</v>
      </c>
    </row>
  </sheetData>
  <hyperlinks>
    <hyperlink ref="A1" location="Índice!A1" display="Índic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7" tint="0.39997558519241921"/>
  </sheetPr>
  <dimension ref="A1:C58"/>
  <sheetViews>
    <sheetView workbookViewId="0"/>
  </sheetViews>
  <sheetFormatPr defaultColWidth="11.44140625" defaultRowHeight="14.4"/>
  <cols>
    <col min="3" max="3" width="12.44140625" customWidth="1"/>
  </cols>
  <sheetData>
    <row r="1" spans="1:3">
      <c r="A1" s="63" t="s">
        <v>166</v>
      </c>
    </row>
    <row r="2" spans="1:3">
      <c r="B2" s="32" t="s">
        <v>88</v>
      </c>
      <c r="C2" s="32" t="s">
        <v>5</v>
      </c>
    </row>
    <row r="3" spans="1:3">
      <c r="B3" s="30">
        <v>1960</v>
      </c>
      <c r="C3" s="58">
        <v>2234665.2185439202</v>
      </c>
    </row>
    <row r="4" spans="1:3">
      <c r="B4" s="30">
        <v>1961</v>
      </c>
      <c r="C4" s="58">
        <v>2388863.4989098529</v>
      </c>
    </row>
    <row r="5" spans="1:3">
      <c r="B5" s="30">
        <v>1962</v>
      </c>
      <c r="C5" s="58">
        <v>2467702.1700095898</v>
      </c>
    </row>
    <row r="6" spans="1:3">
      <c r="B6" s="30">
        <v>1963</v>
      </c>
      <c r="C6" s="58">
        <v>2583938.1315578753</v>
      </c>
    </row>
    <row r="7" spans="1:3">
      <c r="B7" s="30">
        <v>1964</v>
      </c>
      <c r="C7" s="58">
        <v>2692785.940305342</v>
      </c>
    </row>
    <row r="8" spans="1:3">
      <c r="B8" s="30">
        <v>1965</v>
      </c>
      <c r="C8" s="58">
        <v>2858876.2974237306</v>
      </c>
    </row>
    <row r="9" spans="1:3">
      <c r="B9" s="30">
        <v>1966</v>
      </c>
      <c r="C9" s="58">
        <v>2915810.9141769381</v>
      </c>
    </row>
    <row r="10" spans="1:3">
      <c r="B10" s="30">
        <v>1967</v>
      </c>
      <c r="C10" s="58">
        <v>3182618.3198043886</v>
      </c>
    </row>
    <row r="11" spans="1:3">
      <c r="B11" s="30">
        <v>1968</v>
      </c>
      <c r="C11" s="58">
        <v>3326697.8012297112</v>
      </c>
    </row>
    <row r="12" spans="1:3">
      <c r="B12" s="30">
        <v>1969</v>
      </c>
      <c r="C12" s="58">
        <v>3483090.9017626471</v>
      </c>
    </row>
    <row r="13" spans="1:3">
      <c r="B13" s="30">
        <v>1970</v>
      </c>
      <c r="C13" s="58">
        <v>3676521.768305101</v>
      </c>
    </row>
    <row r="14" spans="1:3">
      <c r="B14" s="30">
        <v>1971</v>
      </c>
      <c r="C14" s="58">
        <v>3880133.1298964876</v>
      </c>
    </row>
    <row r="15" spans="1:3">
      <c r="B15" s="30">
        <v>1972</v>
      </c>
      <c r="C15" s="58">
        <v>4137436.3002019459</v>
      </c>
    </row>
    <row r="16" spans="1:3">
      <c r="B16" s="30">
        <v>1973</v>
      </c>
      <c r="C16" s="58">
        <v>4439585.5323656304</v>
      </c>
    </row>
    <row r="17" spans="2:3">
      <c r="B17" s="30">
        <v>1974</v>
      </c>
      <c r="C17" s="58">
        <v>4811690.5231053187</v>
      </c>
    </row>
    <row r="18" spans="2:3">
      <c r="B18" s="30">
        <v>1975</v>
      </c>
      <c r="C18" s="58">
        <v>5141408.956048863</v>
      </c>
    </row>
    <row r="19" spans="2:3">
      <c r="B19" s="30">
        <v>1976</v>
      </c>
      <c r="C19" s="58">
        <v>5528348.7992478637</v>
      </c>
    </row>
    <row r="20" spans="2:3">
      <c r="B20" s="30">
        <v>1977</v>
      </c>
      <c r="C20" s="58">
        <v>6163781.7214908572</v>
      </c>
    </row>
    <row r="21" spans="2:3">
      <c r="B21" s="30">
        <v>1978</v>
      </c>
      <c r="C21" s="58">
        <v>6905206.3791843159</v>
      </c>
    </row>
    <row r="22" spans="2:3">
      <c r="B22" s="30">
        <v>1979</v>
      </c>
      <c r="C22" s="58">
        <v>7724312.1086387523</v>
      </c>
    </row>
    <row r="23" spans="2:3">
      <c r="B23" s="30">
        <v>1980</v>
      </c>
      <c r="C23" s="58">
        <v>8628994.8158898093</v>
      </c>
    </row>
    <row r="24" spans="2:3">
      <c r="B24" s="30">
        <v>1981</v>
      </c>
      <c r="C24" s="58">
        <v>9420313.2346182</v>
      </c>
    </row>
    <row r="25" spans="2:3">
      <c r="B25" s="30">
        <v>1982</v>
      </c>
      <c r="C25" s="58">
        <v>9288653.2678140849</v>
      </c>
    </row>
    <row r="26" spans="2:3">
      <c r="B26" s="30">
        <v>1983</v>
      </c>
      <c r="C26" s="58">
        <v>9006035.042173909</v>
      </c>
    </row>
    <row r="27" spans="2:3">
      <c r="B27" s="30">
        <v>1984</v>
      </c>
      <c r="C27" s="58">
        <v>9259698.9753414206</v>
      </c>
    </row>
    <row r="28" spans="2:3">
      <c r="B28" s="30">
        <v>1985</v>
      </c>
      <c r="C28" s="58">
        <v>9678527.7234127894</v>
      </c>
    </row>
    <row r="29" spans="2:3">
      <c r="B29" s="30">
        <v>1986</v>
      </c>
      <c r="C29" s="58">
        <v>10159050.719603689</v>
      </c>
    </row>
    <row r="30" spans="2:3">
      <c r="B30" s="30">
        <v>1987</v>
      </c>
      <c r="C30" s="58">
        <v>10929340.866968166</v>
      </c>
    </row>
    <row r="31" spans="2:3">
      <c r="B31" s="30">
        <v>1988</v>
      </c>
      <c r="C31" s="58">
        <v>11575852.043612972</v>
      </c>
    </row>
    <row r="32" spans="2:3">
      <c r="B32" s="30">
        <v>1989</v>
      </c>
      <c r="C32" s="58">
        <v>12378660.98717171</v>
      </c>
    </row>
    <row r="33" spans="2:3">
      <c r="B33" s="30">
        <v>1990</v>
      </c>
      <c r="C33" s="58">
        <v>12889068.196377208</v>
      </c>
    </row>
    <row r="34" spans="2:3">
      <c r="B34" s="30">
        <v>1991</v>
      </c>
      <c r="C34" s="58">
        <v>13339367.147406742</v>
      </c>
    </row>
    <row r="35" spans="2:3">
      <c r="B35" s="30">
        <v>1992</v>
      </c>
      <c r="C35" s="58">
        <v>13565659.908216847</v>
      </c>
    </row>
    <row r="36" spans="2:3">
      <c r="B36" s="30">
        <v>1993</v>
      </c>
      <c r="C36" s="58">
        <v>14235309.638271177</v>
      </c>
    </row>
    <row r="37" spans="2:3">
      <c r="B37" s="30">
        <v>1994</v>
      </c>
      <c r="C37" s="58">
        <v>14992331.683506493</v>
      </c>
    </row>
    <row r="38" spans="2:3">
      <c r="B38" s="30">
        <v>1995</v>
      </c>
      <c r="C38" s="58">
        <v>16015230.034361625</v>
      </c>
    </row>
    <row r="39" spans="2:3">
      <c r="B39" s="30">
        <v>1996</v>
      </c>
      <c r="C39" s="58">
        <v>16267275.343454966</v>
      </c>
    </row>
    <row r="40" spans="2:3">
      <c r="B40" s="30">
        <v>1997</v>
      </c>
      <c r="C40" s="58">
        <v>16957417.11937755</v>
      </c>
    </row>
    <row r="41" spans="2:3">
      <c r="B41" s="30">
        <v>1998</v>
      </c>
      <c r="C41" s="58">
        <v>16968954.565419976</v>
      </c>
    </row>
    <row r="42" spans="2:3">
      <c r="B42" s="30">
        <v>1999</v>
      </c>
      <c r="C42" s="58">
        <v>16737145.119697785</v>
      </c>
    </row>
    <row r="43" spans="2:3">
      <c r="B43" s="30">
        <v>2000</v>
      </c>
      <c r="C43" s="58">
        <v>16349824.054519456</v>
      </c>
    </row>
    <row r="44" spans="2:3">
      <c r="B44" s="30">
        <v>2001</v>
      </c>
      <c r="C44" s="58">
        <v>16213457.575816549</v>
      </c>
    </row>
    <row r="45" spans="2:3">
      <c r="B45" s="30">
        <v>2002</v>
      </c>
      <c r="C45" s="58">
        <v>16209987.18330846</v>
      </c>
    </row>
    <row r="46" spans="2:3">
      <c r="B46" s="30">
        <v>2003</v>
      </c>
      <c r="C46" s="58">
        <v>16910379.472739432</v>
      </c>
    </row>
    <row r="47" spans="2:3">
      <c r="B47" s="30">
        <v>2004</v>
      </c>
      <c r="C47" s="58">
        <v>17596504.314825632</v>
      </c>
    </row>
    <row r="48" spans="2:3">
      <c r="B48" s="30">
        <v>2005</v>
      </c>
      <c r="C48" s="58">
        <v>17971924.091679085</v>
      </c>
    </row>
    <row r="49" spans="2:3">
      <c r="B49" s="30">
        <v>2006</v>
      </c>
      <c r="C49" s="58">
        <v>18835855.544550456</v>
      </c>
    </row>
    <row r="50" spans="2:3">
      <c r="B50" s="30">
        <v>2007</v>
      </c>
      <c r="C50" s="58">
        <v>19857064.596928742</v>
      </c>
    </row>
    <row r="51" spans="2:3">
      <c r="B51" s="30">
        <v>2008</v>
      </c>
      <c r="C51" s="58">
        <v>21119799.320640549</v>
      </c>
    </row>
    <row r="52" spans="2:3">
      <c r="B52" s="30">
        <v>2009</v>
      </c>
      <c r="C52" s="58">
        <v>20282252.396957401</v>
      </c>
    </row>
    <row r="53" spans="2:3">
      <c r="B53" s="30">
        <v>2010</v>
      </c>
      <c r="C53" s="58">
        <v>22937808.012133818</v>
      </c>
    </row>
    <row r="54" spans="2:3">
      <c r="B54" s="30">
        <v>2011</v>
      </c>
      <c r="C54" s="58">
        <v>23933861.037312727</v>
      </c>
    </row>
    <row r="55" spans="2:3">
      <c r="B55" s="30">
        <v>2012</v>
      </c>
      <c r="C55" s="58">
        <v>23637328.194770999</v>
      </c>
    </row>
    <row r="56" spans="2:3">
      <c r="B56" s="30">
        <v>2013</v>
      </c>
      <c r="C56" s="58">
        <v>26955128.992666699</v>
      </c>
    </row>
    <row r="57" spans="2:3">
      <c r="B57" s="30">
        <v>2014</v>
      </c>
      <c r="C57" s="58">
        <v>28228040.14509809</v>
      </c>
    </row>
    <row r="58" spans="2:3">
      <c r="C58" s="26" t="s">
        <v>113</v>
      </c>
    </row>
  </sheetData>
  <hyperlinks>
    <hyperlink ref="A1" location="Índice!A1" display="Índic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59</vt:i4>
      </vt:variant>
    </vt:vector>
  </HeadingPairs>
  <TitlesOfParts>
    <vt:vector size="59" baseType="lpstr">
      <vt:lpstr>Real GDP pc</vt:lpstr>
      <vt:lpstr>Figure 1</vt:lpstr>
      <vt:lpstr>Inflation</vt:lpstr>
      <vt:lpstr>Figure 2</vt:lpstr>
      <vt:lpstr>1</vt:lpstr>
      <vt:lpstr>2</vt:lpstr>
      <vt:lpstr>3</vt:lpstr>
      <vt:lpstr>9</vt:lpstr>
      <vt:lpstr>10</vt:lpstr>
      <vt:lpstr>11</vt:lpstr>
      <vt:lpstr>12</vt:lpstr>
      <vt:lpstr>13</vt:lpstr>
      <vt:lpstr>14</vt:lpstr>
      <vt:lpstr>15</vt:lpstr>
      <vt:lpstr>Deficit</vt:lpstr>
      <vt:lpstr>Figure 3</vt:lpstr>
      <vt:lpstr>Figure 4</vt:lpstr>
      <vt:lpstr>Debt</vt:lpstr>
      <vt:lpstr>Figure 5</vt:lpstr>
      <vt:lpstr>Figure 6</vt:lpstr>
      <vt:lpstr>Data Figures 7, 8, 9</vt:lpstr>
      <vt:lpstr>Figure 7</vt:lpstr>
      <vt:lpstr>Figure 8</vt:lpstr>
      <vt:lpstr>Figure 9</vt:lpstr>
      <vt:lpstr>Figure 10</vt:lpstr>
      <vt:lpstr>Figure 11</vt:lpstr>
      <vt:lpstr>Figure 12</vt:lpstr>
      <vt:lpstr>Figure 13</vt:lpstr>
      <vt:lpstr>Figure 14</vt:lpstr>
      <vt:lpstr>Figure 15</vt:lpstr>
      <vt:lpstr>Budget accounting</vt:lpstr>
      <vt:lpstr>IR</vt:lpstr>
      <vt:lpstr>RER</vt:lpstr>
      <vt:lpstr>Multiple Exchange rate</vt:lpstr>
      <vt:lpstr>Credits to the Private Sector</vt:lpstr>
      <vt:lpstr>Data figure 16</vt:lpstr>
      <vt:lpstr>Figure 16</vt:lpstr>
      <vt:lpstr>Data figure 17</vt:lpstr>
      <vt:lpstr>Figure 17</vt:lpstr>
      <vt:lpstr>17</vt:lpstr>
      <vt:lpstr>18</vt:lpstr>
      <vt:lpstr>19</vt:lpstr>
      <vt:lpstr>20</vt:lpstr>
      <vt:lpstr>Bibliografía</vt:lpstr>
      <vt:lpstr>Base_BOP</vt:lpstr>
      <vt:lpstr>1960-1973</vt:lpstr>
      <vt:lpstr>1974-1989</vt:lpstr>
      <vt:lpstr>Base_Budget Constraint</vt:lpstr>
      <vt:lpstr>Budget Constraint</vt:lpstr>
      <vt:lpstr>PIB_DA</vt:lpstr>
      <vt:lpstr>BC reducida</vt:lpstr>
      <vt:lpstr>Calculo_TCR</vt:lpstr>
      <vt:lpstr>Base_Graficos</vt:lpstr>
      <vt:lpstr>Crec PIB</vt:lpstr>
      <vt:lpstr>GDP GROWTH TABLE</vt:lpstr>
      <vt:lpstr>Commodities</vt:lpstr>
      <vt:lpstr>checklist</vt:lpstr>
      <vt:lpstr>List</vt:lpstr>
      <vt:lpstr>GRAFICOS para paper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Carlos Esquivel</cp:lastModifiedBy>
  <cp:lastPrinted>2019-05-31T00:58:06Z</cp:lastPrinted>
  <dcterms:created xsi:type="dcterms:W3CDTF">2016-03-08T15:14:06Z</dcterms:created>
  <dcterms:modified xsi:type="dcterms:W3CDTF">2021-08-02T22:08:50Z</dcterms:modified>
</cp:coreProperties>
</file>